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26835" windowHeight="13260" activeTab="0"/>
  </bookViews>
  <sheets>
    <sheet name="eelarve täitmine" sheetId="1" r:id="rId1"/>
    <sheet name="investeeringu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<sst xmlns="http://schemas.openxmlformats.org/spreadsheetml/2006/main" count="648" uniqueCount="343">
  <si>
    <t>TARTU LINNA 2015. a EELARVE INVESTEERIMISTEGEVUSE KULUD</t>
  </si>
  <si>
    <t>Investeerimistegevuse kulud  kokku</t>
  </si>
  <si>
    <t>Põhivara soetus</t>
  </si>
  <si>
    <t>PVS</t>
  </si>
  <si>
    <t>sh toetustest*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</si>
  <si>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</si>
  <si>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</si>
  <si>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</si>
  <si>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</si>
  <si>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</si>
  <si>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Üldised valitsussektori teenused</t>
  </si>
  <si>
    <r>
      <t xml:space="preserve">   </t>
    </r>
    <r>
      <rPr>
        <b/>
        <i/>
        <sz val="11"/>
        <rFont val="Times New Roman"/>
        <family val="1"/>
      </rPr>
      <t>Valitsussektori võla teenindamine</t>
    </r>
  </si>
  <si>
    <t>RO</t>
  </si>
  <si>
    <t>Linna laenude teenindamine</t>
  </si>
  <si>
    <t>HO</t>
  </si>
  <si>
    <t>Riigi Kinnisvara ASile (H. Masingu Kooli ja J. Poska Gümnaasiumi) intressid</t>
  </si>
  <si>
    <t>KO</t>
  </si>
  <si>
    <t>Raamatukogu väikebussi liisingu intressid</t>
  </si>
  <si>
    <t>Maarja kooli bussi liisingu intressid</t>
  </si>
  <si>
    <r>
      <t xml:space="preserve">   </t>
    </r>
    <r>
      <rPr>
        <b/>
        <i/>
        <sz val="11"/>
        <rFont val="Times New Roman"/>
        <family val="1"/>
      </rPr>
      <t>Linnavalitsus</t>
    </r>
  </si>
  <si>
    <t>LVO</t>
  </si>
  <si>
    <t>Küüni 5 ametiriuumide remont</t>
  </si>
  <si>
    <t>LK</t>
  </si>
  <si>
    <t>Linnavalitsuse IT vahendite soetus</t>
  </si>
  <si>
    <r>
      <t xml:space="preserve">   </t>
    </r>
    <r>
      <rPr>
        <b/>
        <i/>
        <sz val="11"/>
        <rFont val="Times New Roman"/>
        <family val="1"/>
      </rPr>
      <t>Ühistegevuskulud</t>
    </r>
  </si>
  <si>
    <t>Majandus</t>
  </si>
  <si>
    <t>LMO</t>
  </si>
  <si>
    <t xml:space="preserve">  Linna teed, tänavad ja sillad</t>
  </si>
  <si>
    <t>Tänavate rekonstrueerimine, ehitus</t>
  </si>
  <si>
    <t>Tartu idapoolse ringtee projekteerimine ja ehitamine</t>
  </si>
  <si>
    <t>Savi tn ehitus ja järelvalve</t>
  </si>
  <si>
    <t>Roosi tn koos kergliiklusteedega (Muuseumi tee- Jänese)</t>
  </si>
  <si>
    <t>Nooruse, Teaduse, Sanatooriumi tn rekonstrueerimine koos kergliiklustee ehitusega</t>
  </si>
  <si>
    <t>Pargi tn rekonstrueerimine</t>
  </si>
  <si>
    <t>Vaksali esise väljaku koos parkla ning kergliiklusteedega projekteerimine ja ehitus</t>
  </si>
  <si>
    <t>Tähe-Lootuse-Pargi tn ristmiku rekonstrueerimine</t>
  </si>
  <si>
    <t>Projekteerimised, sh:</t>
  </si>
  <si>
    <t>Roosi tn (Puiestee - Narva mnt)</t>
  </si>
  <si>
    <t>Avalik parkla (Oeconomikumi ja Konsumi vaheline ala)</t>
  </si>
  <si>
    <t>Kruusakattega tänavate asfalteerimine</t>
  </si>
  <si>
    <t>Ülekatted ja pindamised</t>
  </si>
  <si>
    <t xml:space="preserve">   Võru tn (Aardla-linna piir)</t>
  </si>
  <si>
    <r>
      <t xml:space="preserve">  </t>
    </r>
    <r>
      <rPr>
        <sz val="11"/>
        <rFont val="Times New Roman"/>
        <family val="1"/>
      </rPr>
      <t xml:space="preserve"> Mõisavahe (Kalda tee-Anne jalakäijate kiir)</t>
    </r>
  </si>
  <si>
    <t xml:space="preserve">   Soinaste tn (Riia-Aardla)</t>
  </si>
  <si>
    <t xml:space="preserve">   Roopa tn</t>
  </si>
  <si>
    <t xml:space="preserve">   Ropka tee (Tähe ring-Turu)</t>
  </si>
  <si>
    <t>Jalg- ja jalgrattateed, sh:</t>
  </si>
  <si>
    <t>Politseiplatsi teede ja valgustuse remont</t>
  </si>
  <si>
    <t>Hipodroomi tn kergliiklustee</t>
  </si>
  <si>
    <t>Riia tn kergliiklustee (politseimaja vastas) Raja tn-Riia ringini</t>
  </si>
  <si>
    <t>kõnniteede äärekivide kõrguste korrigeerimine (kaasav eelarve)</t>
  </si>
  <si>
    <t>projekteerimised, sh:</t>
  </si>
  <si>
    <t>Vaksali tn ühendus EMÜ-ga (Näituse tn - EMÜ-Waldorfkool)</t>
  </si>
  <si>
    <t>jalgtee Võidu sillale</t>
  </si>
  <si>
    <t xml:space="preserve">Rõõmu tee kõnnitee </t>
  </si>
  <si>
    <t>Sadevee liitumistasu</t>
  </si>
  <si>
    <t>Infrastruktuuri arenduste kompensatsioonid</t>
  </si>
  <si>
    <t>Oksa ja Ladva tänavad</t>
  </si>
  <si>
    <t>Koostöö võrguarendajatega</t>
  </si>
  <si>
    <r>
      <t xml:space="preserve">   </t>
    </r>
    <r>
      <rPr>
        <b/>
        <i/>
        <sz val="11"/>
        <rFont val="Times New Roman"/>
        <family val="1"/>
      </rPr>
      <t>Transpordikorraldus</t>
    </r>
  </si>
  <si>
    <t>Projekt “Avaliku bussiliinivedu teostatavates bussides reaalaja infosüsteem"</t>
  </si>
  <si>
    <r>
      <t xml:space="preserve">   </t>
    </r>
    <r>
      <rPr>
        <b/>
        <i/>
        <sz val="11"/>
        <rFont val="Times New Roman"/>
        <family val="1"/>
      </rPr>
      <t>Üldmajanduslikud arendusprojektid</t>
    </r>
  </si>
  <si>
    <t>EO</t>
  </si>
  <si>
    <t xml:space="preserve">Toetus SA-le Tartu Teaduspark infrastruktuuri arendamiseks </t>
  </si>
  <si>
    <t xml:space="preserve">   Veetransport</t>
  </si>
  <si>
    <t xml:space="preserve">Sõpruse Silla paadisadam </t>
  </si>
  <si>
    <t xml:space="preserve">  Muu majandus</t>
  </si>
  <si>
    <t>Ettekirjutuste täitmiseks linna hoonetes</t>
  </si>
  <si>
    <t>Korteriühistute remondifond</t>
  </si>
  <si>
    <t>Vaksali 14 remont</t>
  </si>
  <si>
    <t>Keskkonnakaitse</t>
  </si>
  <si>
    <r>
      <t xml:space="preserve">   </t>
    </r>
    <r>
      <rPr>
        <b/>
        <i/>
        <sz val="11"/>
        <rFont val="Times New Roman"/>
        <family val="1"/>
      </rPr>
      <t>Jäätmekäitlus</t>
    </r>
  </si>
  <si>
    <t xml:space="preserve">Sügavkogumismahutite soetamine </t>
  </si>
  <si>
    <t xml:space="preserve">   Veemajandus</t>
  </si>
  <si>
    <t>Sadeveetorustiku ja hüdrantide rajamine</t>
  </si>
  <si>
    <r>
      <t xml:space="preserve">   </t>
    </r>
    <r>
      <rPr>
        <b/>
        <i/>
        <sz val="11"/>
        <rFont val="Times New Roman"/>
        <family val="1"/>
      </rPr>
      <t>Haljastus</t>
    </r>
  </si>
  <si>
    <t>Emajõe kallaste elavdamine</t>
  </si>
  <si>
    <t>Riia 12 purskkaevu, treppide ja tugimüüri remont</t>
  </si>
  <si>
    <t>Välitrenažöörid spordiradadele</t>
  </si>
  <si>
    <t>Jaamamõisa linnaosa mänguväljakud</t>
  </si>
  <si>
    <t>Emajõe kaldapiirete uuendamine (kaasav eelarve)</t>
  </si>
  <si>
    <t>Raadi Dendropargi rekonstrueerimine</t>
  </si>
  <si>
    <t>Raadi dendropargi rekonstrueerimise projekt</t>
  </si>
  <si>
    <t>Elamu ja kommunaalmajandus</t>
  </si>
  <si>
    <t xml:space="preserve">   Elamumajanduse arendamine</t>
  </si>
  <si>
    <t xml:space="preserve">Linnale kuuluvate korterite remont </t>
  </si>
  <si>
    <t xml:space="preserve">Linnale kuuluvate elamute remont </t>
  </si>
  <si>
    <t xml:space="preserve">   Tänavavalgustus</t>
  </si>
  <si>
    <t>Projekt " Efektiivne ja keskkonnasõbralik tänavavalgustus I"</t>
  </si>
  <si>
    <t>Tänavavalgustuse haldusprogrammi väljavahetamine</t>
  </si>
  <si>
    <t xml:space="preserve">Rüütli tn kaablite rekonstrueerimine </t>
  </si>
  <si>
    <t xml:space="preserve">  Muu elamu- ja kommunaaltegevus</t>
  </si>
  <si>
    <t>Pauluse leinamaja põranda vahetus</t>
  </si>
  <si>
    <t>Kalmistu 22 hoone puitosa renoveerimine</t>
  </si>
  <si>
    <t>Vabaaeg ja kultuur</t>
  </si>
  <si>
    <t xml:space="preserve">   Spordibaasid</t>
  </si>
  <si>
    <t>EMÜ spordihoone ehitamise toetus</t>
  </si>
  <si>
    <t>TÜ spordihoone renoveerimise toetus</t>
  </si>
  <si>
    <t>Annelinna kunstmuruväljak</t>
  </si>
  <si>
    <t xml:space="preserve">SAle Tartu Sport, sh: </t>
  </si>
  <si>
    <t>spordiinventari soetuseks</t>
  </si>
  <si>
    <t>Veski spordibaasi renoveerimine</t>
  </si>
  <si>
    <r>
      <t xml:space="preserve">   </t>
    </r>
    <r>
      <rPr>
        <b/>
        <i/>
        <sz val="11"/>
        <rFont val="Times New Roman"/>
        <family val="1"/>
      </rPr>
      <t>Puhkepargid</t>
    </r>
  </si>
  <si>
    <t>Sihtasutusele Tähtvere Puhkepark, sh:</t>
  </si>
  <si>
    <t>Ratastraktori soetamiseks</t>
  </si>
  <si>
    <t>Rajatraktori soetamiseks</t>
  </si>
  <si>
    <t>Dendropargi spordiradade arenduseks</t>
  </si>
  <si>
    <r>
      <t xml:space="preserve">   </t>
    </r>
    <r>
      <rPr>
        <b/>
        <i/>
        <sz val="11"/>
        <rFont val="Times New Roman"/>
        <family val="1"/>
      </rPr>
      <t>Laste huvikoolid</t>
    </r>
  </si>
  <si>
    <t>II Muusikakool (Kaunase pst 23)</t>
  </si>
  <si>
    <t>Pillide ost</t>
  </si>
  <si>
    <t xml:space="preserve">   Laste huvialamajad ja keskused</t>
  </si>
  <si>
    <t>MTÜ-le Spordiklubi Rahinge Tartu Skatehall  halli sisu (rularamp'id) korrashoiuks/uuendamiseks</t>
  </si>
  <si>
    <t xml:space="preserve">   Muinsuskaitse</t>
  </si>
  <si>
    <t xml:space="preserve">Toetus SAle Tartu Pauluse Kirik </t>
  </si>
  <si>
    <t>Memoriaali rajamine Pauluse kalmistule</t>
  </si>
  <si>
    <t>AEO</t>
  </si>
  <si>
    <t>Toetus Eesti Apostlik Õigeusu Kirikule</t>
  </si>
  <si>
    <t xml:space="preserve">Toetus EELK Tartu Peetri Kogudusele </t>
  </si>
  <si>
    <t>Memoriaali projekteerimine Pauluse kalmistule</t>
  </si>
  <si>
    <t>Restaureerimise toetused</t>
  </si>
  <si>
    <t>Haridus</t>
  </si>
  <si>
    <t xml:space="preserve">   Lasteaiad (09110)</t>
  </si>
  <si>
    <t>Lasteaedade rajamine</t>
  </si>
  <si>
    <t>Lasteaedade rekonstrueerimine, sh:</t>
  </si>
  <si>
    <t>Lasteaed Sass (Aleksandri 10)</t>
  </si>
  <si>
    <t>Kesklinna Lastekeskus (Akadeemia 2)</t>
  </si>
  <si>
    <t>Lasteaed Hellik (Aardla 13)</t>
  </si>
  <si>
    <t>Lasteaed Karoliine (Kesk 6)</t>
  </si>
  <si>
    <t xml:space="preserve">   Põhikoolid (09212)</t>
  </si>
  <si>
    <t>Põhikoolide rekonstrueerimine, sh:</t>
  </si>
  <si>
    <t>Hansa Kool (Anne 63)</t>
  </si>
  <si>
    <t>Karlova Kool (Lina 2)</t>
  </si>
  <si>
    <t>Forseliuse Kool (Tähe 103)</t>
  </si>
  <si>
    <t xml:space="preserve">Tamme Kool (Tamme pst 24a) </t>
  </si>
  <si>
    <t>Kesklinna Kool (Kroonuaia 7)</t>
  </si>
  <si>
    <t xml:space="preserve">    Gümnaasiumid (09213)</t>
  </si>
  <si>
    <t>Annelinna Gümnaasium (Kaunase pst 68)</t>
  </si>
  <si>
    <t>Masingu Kool</t>
  </si>
  <si>
    <t>Tamme Gümnaasium, Täiskasvanute Gümnaasium (Nooruse 9)</t>
  </si>
  <si>
    <r>
      <t xml:space="preserve">   </t>
    </r>
    <r>
      <rPr>
        <b/>
        <i/>
        <sz val="11"/>
        <rFont val="Times New Roman"/>
        <family val="1"/>
      </rPr>
      <t>Kutseõppeasutused (09222)</t>
    </r>
  </si>
  <si>
    <t>Kutsehariduskeskus hooned</t>
  </si>
  <si>
    <t xml:space="preserve">   Muu haridus (09800)</t>
  </si>
  <si>
    <t>Ettekirjutiste täitmine</t>
  </si>
  <si>
    <t>Koolide spordiväljakud</t>
  </si>
  <si>
    <t>Haridusasutuste rekonstrueerimistööde projekteerimised</t>
  </si>
  <si>
    <t xml:space="preserve"> Projekt Tuluke </t>
  </si>
  <si>
    <t>Sotsiaalne kaitse</t>
  </si>
  <si>
    <r>
      <t xml:space="preserve">   </t>
    </r>
    <r>
      <rPr>
        <b/>
        <i/>
        <sz val="11"/>
        <rFont val="Times New Roman"/>
        <family val="1"/>
      </rPr>
      <t>Eakate hoolekande asutused</t>
    </r>
  </si>
  <si>
    <t>SO</t>
  </si>
  <si>
    <t>Hooldekodule majandus- ja hooldusinventari soetus</t>
  </si>
  <si>
    <t>Hooldekodu väikebussi soetus</t>
  </si>
  <si>
    <t xml:space="preserve">   Laste ja noorte hoolekande asutused</t>
  </si>
  <si>
    <t>Mäe kodu (Mäe 33)</t>
  </si>
  <si>
    <t>Laste Turvakodu (Tiigi 55)</t>
  </si>
  <si>
    <t xml:space="preserve">   Muu sotsiaalsete riskirühmade kaitse, sh:</t>
  </si>
  <si>
    <t xml:space="preserve">OÜ-le Anne Saun sotsiaalabikeskuse rajamiseks (Anne 44) </t>
  </si>
  <si>
    <t>*põhivara soetus toetustest</t>
  </si>
  <si>
    <t>Eelarve täitmine</t>
  </si>
  <si>
    <t>Esialgne</t>
  </si>
  <si>
    <t>Täpsustatud</t>
  </si>
  <si>
    <t>Eelarve</t>
  </si>
  <si>
    <t>Täitmise %</t>
  </si>
  <si>
    <t>Tegevusala ja investeerimisobjekt</t>
  </si>
  <si>
    <t>Eelarve täitmise aruanne</t>
  </si>
  <si>
    <t>Tartu Linnavalitsus</t>
  </si>
  <si>
    <t>seisuga:</t>
  </si>
  <si>
    <t xml:space="preserve">Eelarve </t>
  </si>
  <si>
    <t>Täitmine</t>
  </si>
  <si>
    <t>%</t>
  </si>
  <si>
    <t>kasv</t>
  </si>
  <si>
    <t>Klassifikaator</t>
  </si>
  <si>
    <t>Kirje nimetus</t>
  </si>
  <si>
    <t>täitmine</t>
  </si>
  <si>
    <t>eurodes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</si>
  <si>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</si>
  <si>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</si>
  <si>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</si>
  <si>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</si>
  <si>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</si>
  <si>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</si>
  <si>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</si>
  <si>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</si>
  <si>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</si>
  <si>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</si>
  <si>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</si>
  <si>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</si>
  <si>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</si>
  <si>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</si>
  <si>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</si>
  <si>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</si>
  <si>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</si>
  <si>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</si>
  <si>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Varude müük</t>
  </si>
  <si>
    <t>x</t>
  </si>
  <si>
    <t>382500, 38252</t>
  </si>
  <si>
    <t>Kaevandamisõiguse tasu</t>
  </si>
  <si>
    <t>Laekumine vee erikasutusest</t>
  </si>
  <si>
    <t>Saastetasud ja keskkonnale tekitatud kahju hüvitis</t>
  </si>
  <si>
    <t>3880, 3888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</si>
  <si>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</si>
  <si>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</si>
  <si>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</si>
  <si>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</si>
  <si>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</si>
  <si>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Personalikulud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</si>
  <si>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</si>
  <si>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</si>
  <si>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</si>
  <si>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</si>
  <si>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</si>
  <si>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</si>
  <si>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</si>
  <si>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</si>
  <si>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</si>
  <si>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</si>
  <si>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</si>
  <si>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</si>
  <si>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</si>
  <si>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</si>
  <si>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</si>
  <si>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</si>
  <si>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</si>
  <si>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</si>
  <si>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</si>
  <si>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</si>
  <si>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</si>
  <si>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</si>
  <si>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</si>
  <si>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</si>
  <si>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</si>
  <si>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</si>
  <si>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</si>
  <si>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</si>
  <si>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</si>
  <si>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</si>
  <si>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</si>
  <si>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</si>
  <si>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</si>
  <si>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</si>
  <si>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</si>
  <si>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</si>
  <si>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</si>
  <si>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</si>
  <si>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</si>
  <si>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</si>
  <si>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</si>
  <si>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</si>
  <si>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</si>
  <si>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</si>
  <si>
    <t>Arhitektuuri ja ehituse osak.arhiiviruumide remont</t>
  </si>
  <si>
    <t xml:space="preserve">Kaasav eelarve esialgselt RO-s, edaspidi LMO-s  </t>
  </si>
  <si>
    <t>Avalik kord</t>
  </si>
  <si>
    <t xml:space="preserve">   Muu avalik kord</t>
  </si>
  <si>
    <t>Toetus Lõuna Prefektuurile turvakaamera ostuks</t>
  </si>
  <si>
    <t>Aardla-Raudtee-Soinaste ristmiku ehitus</t>
  </si>
  <si>
    <t>Kesk-Kaare tn rekonstrueerimine</t>
  </si>
  <si>
    <t>Turu tn sõidutee ehitus</t>
  </si>
  <si>
    <t>Lunini tn parendused</t>
  </si>
  <si>
    <t>Aardla tn FI bussipeatuse juures busside ümberpöörde koha rajamine</t>
  </si>
  <si>
    <t xml:space="preserve">     Kaarsilla remondi projekt koos tänavavalgustusega</t>
  </si>
  <si>
    <t xml:space="preserve">     Aardla-Soinaste-Raudtee ristmik</t>
  </si>
  <si>
    <t xml:space="preserve">   Sõpruse silla peale-ja mahasõitude taastusremont</t>
  </si>
  <si>
    <t xml:space="preserve">   Riia (Ülikooli-Pepleri)</t>
  </si>
  <si>
    <t xml:space="preserve"> Turu tn kergliiklustee projekteerimine ja ehitamine </t>
  </si>
  <si>
    <t xml:space="preserve"> Kreutzwaldi tn kergliiklustee projekteerimine ja ehitamine</t>
  </si>
  <si>
    <t>Suur-Kaar tn (Raudteetn-Tamme kool) kergliiklustee</t>
  </si>
  <si>
    <t>Turu tänavale 2 ohutussaare ehitamine</t>
  </si>
  <si>
    <t xml:space="preserve">Rattaparklate rajamine </t>
  </si>
  <si>
    <t>Atlantise ujuvkai puitosa remont</t>
  </si>
  <si>
    <r>
      <t xml:space="preserve">Sildade rekonstrueerimine </t>
    </r>
    <r>
      <rPr>
        <sz val="11"/>
        <rFont val="Times New Roman"/>
        <family val="1"/>
      </rPr>
      <t>(Võidu sild)</t>
    </r>
  </si>
  <si>
    <t>Riia-Pepleri-Väike-Tähe ristmiku valgusfoori rekonstrueerimine</t>
  </si>
  <si>
    <t>Haljasalade arendamise projekteerimine</t>
  </si>
  <si>
    <t>Marja tn mänguväljaku korrastamine</t>
  </si>
  <si>
    <t>Vanemuise pargi korrastamine</t>
  </si>
  <si>
    <t>Saare tn pargiala korrastamine</t>
  </si>
  <si>
    <t>Mäe tn treppide valgustamine</t>
  </si>
  <si>
    <t>Ohtlike tänavavalgustusmastide vahetus</t>
  </si>
  <si>
    <t>Ropkapargi mängu-ja disgolfiväljaku valgustuse korrastamine</t>
  </si>
  <si>
    <t>Raadi ja Rahumäe kalmistute aedade remont</t>
  </si>
  <si>
    <t>Vanausuliste kalmistu Roosi tn värava remont</t>
  </si>
  <si>
    <t>Puiestee kalmistu Jaani kabeli jahutusseadme ost</t>
  </si>
  <si>
    <t>Turu 8 spordihoone veetorustiku rekonstrueerimine</t>
  </si>
  <si>
    <t>Sõudebaasi juurdeehituse toetus</t>
  </si>
  <si>
    <t>traktori soetamiseks Annelinna kunstmuruväljak le</t>
  </si>
  <si>
    <t>Anne Noortekeskus (uus 56) akende vahetus</t>
  </si>
  <si>
    <t xml:space="preserve">   Raamatukogud</t>
  </si>
  <si>
    <t>SA Tartu Maarja Kirik hoone rekonstr.tõööde projekteerimine</t>
  </si>
  <si>
    <t>Tartu Salemi Baptistikoguduse kiriku fassaadi remont</t>
  </si>
  <si>
    <t>SA Jaani Kirik peaportaali ehisviilu rekonstrueerimine</t>
  </si>
  <si>
    <t>Tartu Juudi kogukonnale kalmistu piirdeaia paranduseks</t>
  </si>
  <si>
    <t>Kalmistu Telleri kabeli rekonstr.projekteerimine</t>
  </si>
  <si>
    <t>Kalmistu Telleri kabel</t>
  </si>
  <si>
    <t xml:space="preserve">   Teatrid</t>
  </si>
  <si>
    <t>OÜ Emajõe Suveteater Karlova teatrimaja renoveerimine</t>
  </si>
  <si>
    <t xml:space="preserve">   Muu vabaaeg ja kultuur</t>
  </si>
  <si>
    <t>Kalevi 13 fassaadi viimistlus</t>
  </si>
  <si>
    <t xml:space="preserve"> Lasteaed Krõll   </t>
  </si>
  <si>
    <t>Lasteaed Mõmmik (Mõisavahe 32) avatäidete vahetus</t>
  </si>
  <si>
    <t>Lasteaed Kivike (Kivi 44)</t>
  </si>
  <si>
    <t>lasteaedade köökide sisustamine</t>
  </si>
  <si>
    <t>lasteaed Triinu ja Taavi (Kaunasepst 67) ruumide rekonstrueerimine</t>
  </si>
  <si>
    <t>Lasteaed Pääsupesa (Sõpruse pst 12) õueala rekonstrueerimine</t>
  </si>
  <si>
    <t>Annelinna Gümnaasiumi parkla</t>
  </si>
  <si>
    <t>Masingu Kool (Riia 10)</t>
  </si>
  <si>
    <t>Tartu Waldorfkooli piirdeaia ehitus</t>
  </si>
  <si>
    <t>Kutsehariduskeskus  masinad, seadme, infotehn.</t>
  </si>
  <si>
    <t>Haridusobjektide territooriumite korrastamine</t>
  </si>
  <si>
    <t>Rattaparklate rajamine koolidele</t>
  </si>
  <si>
    <t xml:space="preserve">   Puuetega inimeste sotsiaalhoolekandeasutused</t>
  </si>
  <si>
    <t>Tartu Vaimse Tervise Hooldekeskuse (Nõlvaku 12) II etapi ehituse eskiisprojekt</t>
  </si>
  <si>
    <t>Ujula</t>
  </si>
  <si>
    <t xml:space="preserve">Marja </t>
  </si>
  <si>
    <t>Elulõnga</t>
  </si>
  <si>
    <t>Kodukolde</t>
  </si>
  <si>
    <t>Sanatooriumi</t>
  </si>
  <si>
    <t>Aardla-Raudtee-Soinaste ristmik</t>
  </si>
  <si>
    <t>Õnne</t>
  </si>
  <si>
    <t>Kabeli</t>
  </si>
  <si>
    <t>Vabaduse pst 4 WC</t>
  </si>
  <si>
    <t>Turu 8 spordihoone 2 dussiruumi remont</t>
  </si>
  <si>
    <t>A.LeCoq Spordimaja 6 dussiruumi remont</t>
  </si>
  <si>
    <t xml:space="preserve">      Lasteaed Rukkilill Sepa 18   </t>
  </si>
  <si>
    <t>Lasteaedade  remonditud ruumide sisustus</t>
  </si>
  <si>
    <t>K.J.Petersoni Gümnaasiumi aula põranda remont</t>
  </si>
  <si>
    <t>sh september</t>
  </si>
  <si>
    <t>Koidutähe</t>
  </si>
  <si>
    <t xml:space="preserve">   Vabriku tn </t>
  </si>
  <si>
    <t xml:space="preserve">   Kaunase pst</t>
  </si>
  <si>
    <t>Soola,Turu, Aleksandri tn ristmikud ja kergliiklustee</t>
  </si>
  <si>
    <t>Väike-Turu,soola ja Turu tn  sademeveetorustiku ehitamine</t>
  </si>
  <si>
    <t>Soola tn restkaevu ja soola -Aleksandri ristmiku torustike ehitus</t>
  </si>
  <si>
    <t>Lunini, Ümera, Ehitajate tn ja Tamme pst taastus</t>
  </si>
  <si>
    <t>Turu tn (Riia-Soola)</t>
  </si>
  <si>
    <t>Tamme pst</t>
  </si>
  <si>
    <t>MTÜ Tartu Rebase paadisadama toetus</t>
  </si>
  <si>
    <t>Emajõe kaldapealsele plastist aluse paigaldus</t>
  </si>
  <si>
    <t>Emajõe purskkaevu elektritoite uuring</t>
  </si>
  <si>
    <t>Lasteaed Rukkilill Sepa 18</t>
  </si>
  <si>
    <t xml:space="preserve">Lasteaedade mänguväljakute korrashoid </t>
  </si>
  <si>
    <t>Lasteaedade sisekliima tagamine</t>
  </si>
  <si>
    <t>Kutsehariduskeskus (Põllu 11) parkla ja platside  rajamine</t>
  </si>
  <si>
    <t>Kutsehariduskeskuse projekti sildfinantseerimine</t>
  </si>
  <si>
    <t>O.Lutsu nim.Linnaraamatukogu (Kompanii 3/5) lugejaala laiendamine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</si>
</sst>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2"/>
      <name val="Times New Roman"/>
      <family val="1"/>
    </font>
    <font>
      <sz val="11"/>
      <color indexed="57"/>
      <name val="Times New Roman"/>
      <family val="1"/>
    </font>
    <font>
      <sz val="9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0000FF"/>
      <name val="Times New Roman"/>
      <family val="1"/>
    </font>
    <font>
      <sz val="11"/>
      <color theme="6" tint="-0.24997000396251678"/>
      <name val="Times New Roman"/>
      <family val="1"/>
    </font>
    <font>
      <sz val="9"/>
      <color theme="6"/>
      <name val="Times New Roman"/>
      <family val="1"/>
    </font>
    <font>
      <sz val="11"/>
      <color theme="6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thin"/>
    </border>
    <border>
      <left style="medium"/>
      <right/>
      <top style="medium"/>
      <bottom style="medium"/>
    </border>
    <border>
      <left style="hair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/>
      <right/>
      <top style="thin"/>
      <bottom/>
    </border>
    <border>
      <left style="hair"/>
      <right/>
      <top/>
      <bottom style="medium"/>
    </border>
    <border>
      <left style="thin"/>
      <right style="medium"/>
      <top style="thin"/>
      <bottom style="medium"/>
    </border>
    <border>
      <left style="hair"/>
      <right style="medium"/>
      <top/>
      <bottom style="medium"/>
    </border>
    <border>
      <left style="hair"/>
      <right/>
      <top/>
      <bottom style="thin"/>
    </border>
    <border>
      <left style="thin"/>
      <right style="medium"/>
      <top/>
      <bottom style="thin"/>
    </border>
    <border>
      <left style="hair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hair"/>
      <right style="thin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medium"/>
      <bottom/>
    </border>
    <border>
      <left/>
      <right style="medium"/>
      <top style="medium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/>
      <top style="medium"/>
      <bottom/>
    </border>
    <border>
      <left style="hair"/>
      <right style="thin"/>
      <top/>
      <bottom style="thin"/>
    </border>
    <border>
      <left style="thin"/>
      <right style="medium"/>
      <top style="medium"/>
      <bottom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3" applyNumberFormat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0" borderId="9" applyNumberFormat="0" applyAlignment="0" applyProtection="0"/>
  </cellStyleXfs>
  <cellXfs count="317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1" xfId="304" applyFont="1" applyBorder="1" applyAlignment="1">
      <alignment horizontal="left" wrapText="1"/>
      <protection/>
    </xf>
    <xf numFmtId="0" fontId="2" fillId="2" borderId="11" xfId="304" applyFont="1" applyFill="1" applyBorder="1" applyAlignment="1">
      <alignment horizontal="left" wrapText="1"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14" fillId="0" borderId="11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0" xfId="305" applyFont="1" applyAlignment="1">
      <alignment vertical="center"/>
      <protection/>
    </xf>
    <xf numFmtId="0" fontId="14" fillId="0" borderId="0" xfId="305" applyFont="1" applyFill="1" applyAlignment="1" applyProtection="1">
      <alignment vertical="center"/>
      <protection locked="0"/>
    </xf>
    <xf numFmtId="0" fontId="7" fillId="0" borderId="0" xfId="305" applyFont="1" applyAlignment="1" applyProtection="1">
      <alignment vertical="center"/>
      <protection locked="0"/>
    </xf>
    <xf numFmtId="4" fontId="15" fillId="0" borderId="0" xfId="305" applyNumberFormat="1" applyFont="1" applyBorder="1" applyAlignment="1" applyProtection="1">
      <alignment vertical="center"/>
      <protection locked="0"/>
    </xf>
    <xf numFmtId="0" fontId="7" fillId="0" borderId="0" xfId="305" applyFont="1" applyAlignment="1">
      <alignment vertical="center"/>
      <protection/>
    </xf>
    <xf numFmtId="0" fontId="17" fillId="0" borderId="15" xfId="308" applyFont="1" applyFill="1" applyBorder="1" applyAlignment="1" applyProtection="1">
      <alignment horizontal="left" vertical="center"/>
      <protection locked="0"/>
    </xf>
    <xf numFmtId="0" fontId="18" fillId="0" borderId="16" xfId="308" applyFont="1" applyFill="1" applyBorder="1" applyAlignment="1" applyProtection="1">
      <alignment horizontal="right" vertical="center"/>
      <protection locked="0"/>
    </xf>
    <xf numFmtId="14" fontId="59" fillId="0" borderId="16" xfId="308" applyNumberFormat="1" applyFont="1" applyFill="1" applyBorder="1" applyAlignment="1" applyProtection="1">
      <alignment horizontal="left" vertical="center"/>
      <protection locked="0"/>
    </xf>
    <xf numFmtId="0" fontId="7" fillId="0" borderId="17" xfId="305" applyFont="1" applyBorder="1" applyAlignment="1">
      <alignment horizontal="center" vertical="center"/>
      <protection/>
    </xf>
    <xf numFmtId="0" fontId="4" fillId="24" borderId="18" xfId="305" applyFont="1" applyFill="1" applyBorder="1" applyAlignment="1">
      <alignment horizontal="left" vertical="center"/>
      <protection/>
    </xf>
    <xf numFmtId="0" fontId="4" fillId="24" borderId="19" xfId="305" applyFont="1" applyFill="1" applyBorder="1" applyAlignment="1">
      <alignment horizontal="left" vertical="center"/>
      <protection/>
    </xf>
    <xf numFmtId="0" fontId="20" fillId="24" borderId="19" xfId="308" applyFont="1" applyFill="1" applyBorder="1" applyAlignment="1">
      <alignment vertical="center"/>
      <protection/>
    </xf>
    <xf numFmtId="3" fontId="21" fillId="24" borderId="18" xfId="308" applyNumberFormat="1" applyFont="1" applyFill="1" applyBorder="1" applyAlignment="1" applyProtection="1">
      <alignment vertical="center"/>
      <protection/>
    </xf>
    <xf numFmtId="0" fontId="17" fillId="0" borderId="20" xfId="308" applyFont="1" applyFill="1" applyBorder="1" applyAlignment="1">
      <alignment horizontal="left" vertical="center"/>
      <protection/>
    </xf>
    <xf numFmtId="0" fontId="17" fillId="0" borderId="0" xfId="308" applyFont="1" applyFill="1" applyBorder="1" applyAlignment="1">
      <alignment horizontal="left" vertical="center"/>
      <protection/>
    </xf>
    <xf numFmtId="0" fontId="5" fillId="0" borderId="0" xfId="308" applyFont="1" applyFill="1" applyBorder="1" applyAlignment="1">
      <alignment vertical="center"/>
      <protection/>
    </xf>
    <xf numFmtId="3" fontId="22" fillId="0" borderId="21" xfId="308" applyNumberFormat="1" applyFont="1" applyFill="1" applyBorder="1" applyAlignment="1" applyProtection="1">
      <alignment vertical="center"/>
      <protection locked="0"/>
    </xf>
    <xf numFmtId="166" fontId="22" fillId="0" borderId="17" xfId="308" applyNumberFormat="1" applyFont="1" applyFill="1" applyBorder="1" applyAlignment="1" applyProtection="1">
      <alignment vertical="center"/>
      <protection locked="0"/>
    </xf>
    <xf numFmtId="3" fontId="22" fillId="0" borderId="20" xfId="308" applyNumberFormat="1" applyFont="1" applyFill="1" applyBorder="1" applyAlignment="1" applyProtection="1">
      <alignment vertical="center"/>
      <protection locked="0"/>
    </xf>
    <xf numFmtId="0" fontId="5" fillId="0" borderId="0" xfId="305" applyFont="1" applyFill="1" applyBorder="1" applyAlignment="1">
      <alignment vertical="center"/>
      <protection/>
    </xf>
    <xf numFmtId="0" fontId="4" fillId="24" borderId="22" xfId="308" applyFont="1" applyFill="1" applyBorder="1" applyAlignment="1">
      <alignment horizontal="left" vertical="center"/>
      <protection/>
    </xf>
    <xf numFmtId="0" fontId="4" fillId="24" borderId="23" xfId="308" applyFont="1" applyFill="1" applyBorder="1" applyAlignment="1">
      <alignment horizontal="left" vertical="center"/>
      <protection/>
    </xf>
    <xf numFmtId="0" fontId="20" fillId="24" borderId="23" xfId="308" applyFont="1" applyFill="1" applyBorder="1" applyAlignment="1">
      <alignment vertical="center"/>
      <protection/>
    </xf>
    <xf numFmtId="3" fontId="21" fillId="24" borderId="22" xfId="308" applyNumberFormat="1" applyFont="1" applyFill="1" applyBorder="1" applyAlignment="1" applyProtection="1">
      <alignment vertical="center"/>
      <protection/>
    </xf>
    <xf numFmtId="9" fontId="21" fillId="24" borderId="24" xfId="308" applyNumberFormat="1" applyFont="1" applyFill="1" applyBorder="1" applyAlignment="1" applyProtection="1">
      <alignment vertical="center"/>
      <protection/>
    </xf>
    <xf numFmtId="166" fontId="21" fillId="24" borderId="24" xfId="308" applyNumberFormat="1" applyFont="1" applyFill="1" applyBorder="1" applyAlignment="1" applyProtection="1">
      <alignment vertical="center"/>
      <protection/>
    </xf>
    <xf numFmtId="3" fontId="21" fillId="24" borderId="25" xfId="308" applyNumberFormat="1" applyFont="1" applyFill="1" applyBorder="1" applyAlignment="1" applyProtection="1">
      <alignment vertical="center"/>
      <protection/>
    </xf>
    <xf numFmtId="0" fontId="5" fillId="0" borderId="20" xfId="308" applyFont="1" applyFill="1" applyBorder="1" applyAlignment="1">
      <alignment horizontal="left" vertical="center"/>
      <protection/>
    </xf>
    <xf numFmtId="0" fontId="5" fillId="0" borderId="0" xfId="308" applyFont="1" applyFill="1" applyBorder="1" applyAlignment="1">
      <alignment horizontal="left" vertical="center"/>
      <protection/>
    </xf>
    <xf numFmtId="0" fontId="17" fillId="0" borderId="0" xfId="308" applyFont="1" applyFill="1" applyBorder="1" applyAlignment="1">
      <alignment vertical="center"/>
      <protection/>
    </xf>
    <xf numFmtId="3" fontId="22" fillId="0" borderId="20" xfId="308" applyNumberFormat="1" applyFont="1" applyFill="1" applyBorder="1" applyAlignment="1" applyProtection="1">
      <alignment vertical="center"/>
      <protection/>
    </xf>
    <xf numFmtId="166" fontId="22" fillId="0" borderId="17" xfId="308" applyNumberFormat="1" applyFont="1" applyFill="1" applyBorder="1" applyAlignment="1" applyProtection="1">
      <alignment horizontal="right" vertical="center"/>
      <protection locked="0"/>
    </xf>
    <xf numFmtId="166" fontId="22" fillId="0" borderId="17" xfId="308" applyNumberFormat="1" applyFont="1" applyFill="1" applyBorder="1" applyAlignment="1" applyProtection="1">
      <alignment vertical="center"/>
      <protection/>
    </xf>
    <xf numFmtId="3" fontId="21" fillId="33" borderId="26" xfId="308" applyNumberFormat="1" applyFont="1" applyFill="1" applyBorder="1" applyAlignment="1" applyProtection="1">
      <alignment vertical="center"/>
      <protection/>
    </xf>
    <xf numFmtId="3" fontId="21" fillId="33" borderId="27" xfId="308" applyNumberFormat="1" applyFont="1" applyFill="1" applyBorder="1" applyAlignment="1" applyProtection="1">
      <alignment vertical="center"/>
      <protection/>
    </xf>
    <xf numFmtId="3" fontId="21" fillId="24" borderId="15" xfId="308" applyNumberFormat="1" applyFont="1" applyFill="1" applyBorder="1" applyAlignment="1" applyProtection="1">
      <alignment vertical="center"/>
      <protection/>
    </xf>
    <xf numFmtId="0" fontId="17" fillId="34" borderId="20" xfId="308" applyFont="1" applyFill="1" applyBorder="1" applyAlignment="1">
      <alignment horizontal="left" vertical="center"/>
      <protection/>
    </xf>
    <xf numFmtId="0" fontId="17" fillId="34" borderId="0" xfId="308" applyFont="1" applyFill="1" applyBorder="1" applyAlignment="1">
      <alignment horizontal="left" vertical="center"/>
      <protection/>
    </xf>
    <xf numFmtId="0" fontId="5" fillId="34" borderId="0" xfId="308" applyFont="1" applyFill="1" applyBorder="1" applyAlignment="1">
      <alignment vertical="center"/>
      <protection/>
    </xf>
    <xf numFmtId="3" fontId="22" fillId="34" borderId="20" xfId="308" applyNumberFormat="1" applyFont="1" applyFill="1" applyBorder="1" applyAlignment="1" applyProtection="1">
      <alignment vertical="center"/>
      <protection locked="0"/>
    </xf>
    <xf numFmtId="166" fontId="22" fillId="34" borderId="17" xfId="308" applyNumberFormat="1" applyFont="1" applyFill="1" applyBorder="1" applyAlignment="1" applyProtection="1">
      <alignment vertical="center"/>
      <protection locked="0"/>
    </xf>
    <xf numFmtId="0" fontId="17" fillId="0" borderId="28" xfId="308" applyFont="1" applyFill="1" applyBorder="1" applyAlignment="1">
      <alignment horizontal="left" vertical="center"/>
      <protection/>
    </xf>
    <xf numFmtId="0" fontId="17" fillId="0" borderId="29" xfId="308" applyFont="1" applyFill="1" applyBorder="1" applyAlignment="1">
      <alignment horizontal="left" vertical="center"/>
      <protection/>
    </xf>
    <xf numFmtId="0" fontId="5" fillId="0" borderId="29" xfId="308" applyFont="1" applyFill="1" applyBorder="1" applyAlignment="1">
      <alignment vertical="center"/>
      <protection/>
    </xf>
    <xf numFmtId="166" fontId="17" fillId="0" borderId="17" xfId="305" applyNumberFormat="1" applyFont="1" applyFill="1" applyBorder="1" applyAlignment="1">
      <alignment vertical="center"/>
      <protection/>
    </xf>
    <xf numFmtId="0" fontId="20" fillId="35" borderId="28" xfId="305" applyFont="1" applyFill="1" applyBorder="1" applyAlignment="1">
      <alignment horizontal="left" vertical="center"/>
      <protection/>
    </xf>
    <xf numFmtId="0" fontId="20" fillId="35" borderId="29" xfId="305" applyFont="1" applyFill="1" applyBorder="1" applyAlignment="1">
      <alignment horizontal="left" vertical="center"/>
      <protection/>
    </xf>
    <xf numFmtId="0" fontId="17" fillId="35" borderId="29" xfId="305" applyFont="1" applyFill="1" applyBorder="1" applyAlignment="1">
      <alignment vertical="center"/>
      <protection/>
    </xf>
    <xf numFmtId="3" fontId="20" fillId="35" borderId="26" xfId="305" applyNumberFormat="1" applyFont="1" applyFill="1" applyBorder="1" applyAlignment="1">
      <alignment vertical="center"/>
      <protection/>
    </xf>
    <xf numFmtId="0" fontId="20" fillId="33" borderId="26" xfId="305" applyFont="1" applyFill="1" applyBorder="1" applyAlignment="1">
      <alignment horizontal="left" vertical="center"/>
      <protection/>
    </xf>
    <xf numFmtId="0" fontId="20" fillId="33" borderId="30" xfId="305" applyFont="1" applyFill="1" applyBorder="1" applyAlignment="1">
      <alignment horizontal="left" vertical="center"/>
      <protection/>
    </xf>
    <xf numFmtId="0" fontId="17" fillId="33" borderId="30" xfId="305" applyFont="1" applyFill="1" applyBorder="1" applyAlignment="1">
      <alignment vertical="center"/>
      <protection/>
    </xf>
    <xf numFmtId="3" fontId="20" fillId="33" borderId="26" xfId="305" applyNumberFormat="1" applyFont="1" applyFill="1" applyBorder="1" applyAlignment="1">
      <alignment vertical="center"/>
      <protection/>
    </xf>
    <xf numFmtId="3" fontId="20" fillId="33" borderId="27" xfId="305" applyNumberFormat="1" applyFont="1" applyFill="1" applyBorder="1" applyAlignment="1">
      <alignment vertical="center"/>
      <protection/>
    </xf>
    <xf numFmtId="0" fontId="7" fillId="34" borderId="0" xfId="308" applyFont="1" applyFill="1" applyBorder="1" applyAlignment="1">
      <alignment horizontal="left" vertical="center"/>
      <protection/>
    </xf>
    <xf numFmtId="0" fontId="17" fillId="0" borderId="20" xfId="305" applyFont="1" applyFill="1" applyBorder="1" applyAlignment="1">
      <alignment horizontal="left" vertical="center"/>
      <protection/>
    </xf>
    <xf numFmtId="0" fontId="17" fillId="0" borderId="0" xfId="305" applyFont="1" applyFill="1" applyBorder="1" applyAlignment="1">
      <alignment horizontal="left" vertical="center"/>
      <protection/>
    </xf>
    <xf numFmtId="0" fontId="17" fillId="6" borderId="26" xfId="305" applyFont="1" applyFill="1" applyBorder="1" applyAlignment="1">
      <alignment horizontal="left" vertical="center"/>
      <protection/>
    </xf>
    <xf numFmtId="0" fontId="20" fillId="35" borderId="30" xfId="308" applyFont="1" applyFill="1" applyBorder="1" applyAlignment="1">
      <alignment horizontal="left" vertical="center"/>
      <protection/>
    </xf>
    <xf numFmtId="0" fontId="17" fillId="35" borderId="30" xfId="308" applyFont="1" applyFill="1" applyBorder="1" applyAlignment="1">
      <alignment vertical="center"/>
      <protection/>
    </xf>
    <xf numFmtId="3" fontId="20" fillId="35" borderId="27" xfId="305" applyNumberFormat="1" applyFont="1" applyFill="1" applyBorder="1" applyAlignment="1">
      <alignment vertical="center"/>
      <protection/>
    </xf>
    <xf numFmtId="0" fontId="17" fillId="33" borderId="26" xfId="305" applyFont="1" applyFill="1" applyBorder="1" applyAlignment="1">
      <alignment horizontal="left" vertical="center"/>
      <protection/>
    </xf>
    <xf numFmtId="49" fontId="17" fillId="0" borderId="31" xfId="308" applyNumberFormat="1" applyFont="1" applyFill="1" applyBorder="1" applyAlignment="1">
      <alignment horizontal="left" vertical="center"/>
      <protection/>
    </xf>
    <xf numFmtId="49" fontId="17" fillId="0" borderId="32" xfId="308" applyNumberFormat="1" applyFont="1" applyFill="1" applyBorder="1" applyAlignment="1">
      <alignment horizontal="left" vertical="center"/>
      <protection/>
    </xf>
    <xf numFmtId="49" fontId="17" fillId="34" borderId="20" xfId="308" applyNumberFormat="1" applyFont="1" applyFill="1" applyBorder="1" applyAlignment="1">
      <alignment horizontal="left" vertical="center"/>
      <protection/>
    </xf>
    <xf numFmtId="49" fontId="17" fillId="34" borderId="0" xfId="308" applyNumberFormat="1" applyFont="1" applyFill="1" applyBorder="1" applyAlignment="1">
      <alignment horizontal="left" vertical="center"/>
      <protection/>
    </xf>
    <xf numFmtId="0" fontId="5" fillId="34" borderId="0" xfId="308" applyFont="1" applyFill="1" applyBorder="1" applyAlignment="1">
      <alignment horizontal="left" vertical="center"/>
      <protection/>
    </xf>
    <xf numFmtId="166" fontId="22" fillId="34" borderId="17" xfId="308" applyNumberFormat="1" applyFont="1" applyFill="1" applyBorder="1" applyAlignment="1" applyProtection="1">
      <alignment horizontal="right" vertical="center"/>
      <protection locked="0"/>
    </xf>
    <xf numFmtId="49" fontId="17" fillId="0" borderId="33" xfId="308" applyNumberFormat="1" applyFont="1" applyFill="1" applyBorder="1" applyAlignment="1">
      <alignment horizontal="left" vertical="center"/>
      <protection/>
    </xf>
    <xf numFmtId="49" fontId="17" fillId="0" borderId="34" xfId="308" applyNumberFormat="1" applyFont="1" applyFill="1" applyBorder="1" applyAlignment="1">
      <alignment horizontal="left" vertical="center"/>
      <protection/>
    </xf>
    <xf numFmtId="49" fontId="17" fillId="34" borderId="29" xfId="308" applyNumberFormat="1" applyFont="1" applyFill="1" applyBorder="1" applyAlignment="1">
      <alignment horizontal="left" vertical="center"/>
      <protection/>
    </xf>
    <xf numFmtId="0" fontId="20" fillId="33" borderId="30" xfId="308" applyFont="1" applyFill="1" applyBorder="1" applyAlignment="1">
      <alignment horizontal="left" vertical="center"/>
      <protection/>
    </xf>
    <xf numFmtId="0" fontId="17" fillId="33" borderId="30" xfId="308" applyFont="1" applyFill="1" applyBorder="1" applyAlignment="1">
      <alignment vertical="center"/>
      <protection/>
    </xf>
    <xf numFmtId="3" fontId="20" fillId="33" borderId="26" xfId="308" applyNumberFormat="1" applyFont="1" applyFill="1" applyBorder="1" applyAlignment="1">
      <alignment horizontal="right" vertical="center"/>
      <protection/>
    </xf>
    <xf numFmtId="0" fontId="17" fillId="0" borderId="26" xfId="305" applyFont="1" applyFill="1" applyBorder="1" applyAlignment="1">
      <alignment horizontal="left" vertical="center"/>
      <protection/>
    </xf>
    <xf numFmtId="0" fontId="17" fillId="0" borderId="30" xfId="305" applyFont="1" applyFill="1" applyBorder="1" applyAlignment="1">
      <alignment horizontal="left" vertical="center"/>
      <protection/>
    </xf>
    <xf numFmtId="0" fontId="17" fillId="0" borderId="30" xfId="305" applyFont="1" applyFill="1" applyBorder="1" applyAlignment="1">
      <alignment vertical="center"/>
      <protection/>
    </xf>
    <xf numFmtId="3" fontId="17" fillId="0" borderId="26" xfId="305" applyNumberFormat="1" applyFont="1" applyFill="1" applyBorder="1" applyAlignment="1">
      <alignment vertical="center"/>
      <protection/>
    </xf>
    <xf numFmtId="0" fontId="17" fillId="36" borderId="35" xfId="305" applyFont="1" applyFill="1" applyBorder="1" applyAlignment="1">
      <alignment horizontal="left" vertical="center"/>
      <protection/>
    </xf>
    <xf numFmtId="3" fontId="21" fillId="36" borderId="20" xfId="308" applyNumberFormat="1" applyFont="1" applyFill="1" applyBorder="1" applyAlignment="1" applyProtection="1">
      <alignment vertical="center"/>
      <protection/>
    </xf>
    <xf numFmtId="49" fontId="17" fillId="24" borderId="21" xfId="308" applyNumberFormat="1" applyFont="1" applyFill="1" applyBorder="1" applyAlignment="1">
      <alignment horizontal="left" vertical="center"/>
      <protection/>
    </xf>
    <xf numFmtId="0" fontId="5" fillId="24" borderId="36" xfId="308" applyFont="1" applyFill="1" applyBorder="1" applyAlignment="1">
      <alignment horizontal="left" vertical="center"/>
      <protection/>
    </xf>
    <xf numFmtId="0" fontId="5" fillId="24" borderId="36" xfId="308" applyFont="1" applyFill="1" applyBorder="1" applyAlignment="1">
      <alignment vertical="center"/>
      <protection/>
    </xf>
    <xf numFmtId="3" fontId="22" fillId="24" borderId="20" xfId="305" applyNumberFormat="1" applyFont="1" applyFill="1" applyBorder="1" applyAlignment="1" applyProtection="1">
      <alignment vertical="center"/>
      <protection/>
    </xf>
    <xf numFmtId="166" fontId="22" fillId="24" borderId="17" xfId="305" applyNumberFormat="1" applyFont="1" applyFill="1" applyBorder="1" applyAlignment="1" applyProtection="1">
      <alignment vertical="center"/>
      <protection/>
    </xf>
    <xf numFmtId="49" fontId="17" fillId="24" borderId="20" xfId="308" applyNumberFormat="1" applyFont="1" applyFill="1" applyBorder="1" applyAlignment="1">
      <alignment horizontal="left" vertical="center"/>
      <protection/>
    </xf>
    <xf numFmtId="0" fontId="5" fillId="24" borderId="0" xfId="308" applyFont="1" applyFill="1" applyBorder="1" applyAlignment="1">
      <alignment horizontal="left" vertical="center"/>
      <protection/>
    </xf>
    <xf numFmtId="0" fontId="5" fillId="24" borderId="0" xfId="305" applyFont="1" applyFill="1" applyBorder="1" applyAlignment="1">
      <alignment vertical="center"/>
      <protection/>
    </xf>
    <xf numFmtId="0" fontId="17" fillId="36" borderId="20" xfId="305" applyFont="1" applyFill="1" applyBorder="1" applyAlignment="1">
      <alignment horizontal="left" vertical="center"/>
      <protection/>
    </xf>
    <xf numFmtId="166" fontId="20" fillId="36" borderId="17" xfId="308" applyNumberFormat="1" applyFont="1" applyFill="1" applyBorder="1" applyAlignment="1" applyProtection="1">
      <alignment vertical="center"/>
      <protection/>
    </xf>
    <xf numFmtId="0" fontId="5" fillId="24" borderId="0" xfId="308" applyFont="1" applyFill="1" applyBorder="1" applyAlignment="1">
      <alignment vertical="center"/>
      <protection/>
    </xf>
    <xf numFmtId="166" fontId="22" fillId="24" borderId="17" xfId="305" applyNumberFormat="1" applyFont="1" applyFill="1" applyBorder="1" applyAlignment="1" applyProtection="1">
      <alignment horizontal="right" vertical="center"/>
      <protection/>
    </xf>
    <xf numFmtId="49" fontId="17" fillId="24" borderId="28" xfId="308" applyNumberFormat="1" applyFont="1" applyFill="1" applyBorder="1" applyAlignment="1">
      <alignment horizontal="left" vertical="center"/>
      <protection/>
    </xf>
    <xf numFmtId="0" fontId="5" fillId="24" borderId="29" xfId="308" applyFont="1" applyFill="1" applyBorder="1" applyAlignment="1">
      <alignment horizontal="left" vertical="center"/>
      <protection/>
    </xf>
    <xf numFmtId="0" fontId="5" fillId="24" borderId="29" xfId="305" applyFont="1" applyFill="1" applyBorder="1" applyAlignment="1">
      <alignment vertical="center"/>
      <protection/>
    </xf>
    <xf numFmtId="3" fontId="21" fillId="33" borderId="28" xfId="308" applyNumberFormat="1" applyFont="1" applyFill="1" applyBorder="1" applyAlignment="1" applyProtection="1">
      <alignment vertical="center"/>
      <protection/>
    </xf>
    <xf numFmtId="3" fontId="21" fillId="33" borderId="37" xfId="308" applyNumberFormat="1" applyFont="1" applyFill="1" applyBorder="1" applyAlignment="1" applyProtection="1">
      <alignment vertical="center"/>
      <protection/>
    </xf>
    <xf numFmtId="9" fontId="21" fillId="33" borderId="38" xfId="308" applyNumberFormat="1" applyFont="1" applyFill="1" applyBorder="1" applyAlignment="1" applyProtection="1">
      <alignment vertical="center"/>
      <protection/>
    </xf>
    <xf numFmtId="166" fontId="21" fillId="33" borderId="39" xfId="308" applyNumberFormat="1" applyFont="1" applyFill="1" applyBorder="1" applyAlignment="1" applyProtection="1">
      <alignment vertical="center"/>
      <protection/>
    </xf>
    <xf numFmtId="3" fontId="21" fillId="24" borderId="40" xfId="308" applyNumberFormat="1" applyFont="1" applyFill="1" applyBorder="1" applyAlignment="1" applyProtection="1">
      <alignment vertical="center"/>
      <protection/>
    </xf>
    <xf numFmtId="9" fontId="21" fillId="24" borderId="41" xfId="308" applyNumberFormat="1" applyFont="1" applyFill="1" applyBorder="1" applyAlignment="1" applyProtection="1">
      <alignment vertical="center"/>
      <protection/>
    </xf>
    <xf numFmtId="166" fontId="21" fillId="24" borderId="42" xfId="308" applyNumberFormat="1" applyFont="1" applyFill="1" applyBorder="1" applyAlignment="1" applyProtection="1">
      <alignment vertical="center"/>
      <protection/>
    </xf>
    <xf numFmtId="3" fontId="22" fillId="0" borderId="43" xfId="308" applyNumberFormat="1" applyFont="1" applyFill="1" applyBorder="1" applyAlignment="1" applyProtection="1">
      <alignment vertical="center"/>
      <protection locked="0"/>
    </xf>
    <xf numFmtId="9" fontId="22" fillId="0" borderId="17" xfId="308" applyNumberFormat="1" applyFont="1" applyFill="1" applyBorder="1" applyAlignment="1" applyProtection="1">
      <alignment vertical="center"/>
      <protection locked="0"/>
    </xf>
    <xf numFmtId="3" fontId="22" fillId="0" borderId="0" xfId="308" applyNumberFormat="1" applyFont="1" applyFill="1" applyBorder="1" applyAlignment="1" applyProtection="1">
      <alignment vertical="center"/>
      <protection locked="0"/>
    </xf>
    <xf numFmtId="3" fontId="22" fillId="0" borderId="44" xfId="308" applyNumberFormat="1" applyFont="1" applyFill="1" applyBorder="1" applyAlignment="1" applyProtection="1">
      <alignment vertical="center"/>
      <protection locked="0"/>
    </xf>
    <xf numFmtId="3" fontId="21" fillId="24" borderId="45" xfId="308" applyNumberFormat="1" applyFont="1" applyFill="1" applyBorder="1" applyAlignment="1" applyProtection="1">
      <alignment vertical="center"/>
      <protection/>
    </xf>
    <xf numFmtId="3" fontId="21" fillId="24" borderId="23" xfId="308" applyNumberFormat="1" applyFont="1" applyFill="1" applyBorder="1" applyAlignment="1" applyProtection="1">
      <alignment vertical="center"/>
      <protection/>
    </xf>
    <xf numFmtId="3" fontId="21" fillId="24" borderId="46" xfId="308" applyNumberFormat="1" applyFont="1" applyFill="1" applyBorder="1" applyAlignment="1" applyProtection="1">
      <alignment vertical="center"/>
      <protection/>
    </xf>
    <xf numFmtId="166" fontId="21" fillId="24" borderId="47" xfId="308" applyNumberFormat="1" applyFont="1" applyFill="1" applyBorder="1" applyAlignment="1" applyProtection="1">
      <alignment vertical="center"/>
      <protection/>
    </xf>
    <xf numFmtId="3" fontId="22" fillId="0" borderId="44" xfId="308" applyNumberFormat="1" applyFont="1" applyFill="1" applyBorder="1" applyAlignment="1" applyProtection="1">
      <alignment vertical="center"/>
      <protection/>
    </xf>
    <xf numFmtId="9" fontId="22" fillId="0" borderId="17" xfId="308" applyNumberFormat="1" applyFont="1" applyFill="1" applyBorder="1" applyAlignment="1" applyProtection="1">
      <alignment horizontal="right" vertical="center"/>
      <protection locked="0"/>
    </xf>
    <xf numFmtId="3" fontId="22" fillId="0" borderId="0" xfId="308" applyNumberFormat="1" applyFont="1" applyFill="1" applyBorder="1" applyAlignment="1" applyProtection="1">
      <alignment vertical="center"/>
      <protection/>
    </xf>
    <xf numFmtId="9" fontId="22" fillId="0" borderId="17" xfId="308" applyNumberFormat="1" applyFont="1" applyFill="1" applyBorder="1" applyAlignment="1" applyProtection="1">
      <alignment vertical="center"/>
      <protection/>
    </xf>
    <xf numFmtId="3" fontId="21" fillId="33" borderId="48" xfId="308" applyNumberFormat="1" applyFont="1" applyFill="1" applyBorder="1" applyAlignment="1" applyProtection="1">
      <alignment vertical="center"/>
      <protection/>
    </xf>
    <xf numFmtId="9" fontId="20" fillId="33" borderId="49" xfId="305" applyNumberFormat="1" applyFont="1" applyFill="1" applyBorder="1" applyAlignment="1">
      <alignment vertical="center"/>
      <protection/>
    </xf>
    <xf numFmtId="166" fontId="20" fillId="33" borderId="50" xfId="305" applyNumberFormat="1" applyFont="1" applyFill="1" applyBorder="1" applyAlignment="1">
      <alignment vertical="center"/>
      <protection/>
    </xf>
    <xf numFmtId="3" fontId="21" fillId="24" borderId="51" xfId="308" applyNumberFormat="1" applyFont="1" applyFill="1" applyBorder="1" applyAlignment="1" applyProtection="1">
      <alignment vertical="center"/>
      <protection/>
    </xf>
    <xf numFmtId="9" fontId="20" fillId="24" borderId="52" xfId="308" applyNumberFormat="1" applyFont="1" applyFill="1" applyBorder="1" applyAlignment="1">
      <alignment vertical="center"/>
      <protection/>
    </xf>
    <xf numFmtId="3" fontId="21" fillId="24" borderId="16" xfId="308" applyNumberFormat="1" applyFont="1" applyFill="1" applyBorder="1" applyAlignment="1" applyProtection="1">
      <alignment vertical="center"/>
      <protection/>
    </xf>
    <xf numFmtId="166" fontId="20" fillId="24" borderId="52" xfId="308" applyNumberFormat="1" applyFont="1" applyFill="1" applyBorder="1" applyAlignment="1">
      <alignment vertical="center"/>
      <protection/>
    </xf>
    <xf numFmtId="3" fontId="22" fillId="34" borderId="44" xfId="308" applyNumberFormat="1" applyFont="1" applyFill="1" applyBorder="1" applyAlignment="1" applyProtection="1">
      <alignment vertical="center"/>
      <protection locked="0"/>
    </xf>
    <xf numFmtId="9" fontId="22" fillId="34" borderId="17" xfId="308" applyNumberFormat="1" applyFont="1" applyFill="1" applyBorder="1" applyAlignment="1" applyProtection="1">
      <alignment vertical="center"/>
      <protection locked="0"/>
    </xf>
    <xf numFmtId="3" fontId="22" fillId="34" borderId="0" xfId="308" applyNumberFormat="1" applyFont="1" applyFill="1" applyBorder="1" applyAlignment="1" applyProtection="1">
      <alignment vertical="center"/>
      <protection locked="0"/>
    </xf>
    <xf numFmtId="3" fontId="17" fillId="0" borderId="0" xfId="305" applyNumberFormat="1" applyFont="1" applyFill="1" applyBorder="1" applyAlignment="1">
      <alignment vertical="center"/>
      <protection/>
    </xf>
    <xf numFmtId="3" fontId="20" fillId="35" borderId="53" xfId="305" applyNumberFormat="1" applyFont="1" applyFill="1" applyBorder="1" applyAlignment="1">
      <alignment vertical="center"/>
      <protection/>
    </xf>
    <xf numFmtId="9" fontId="20" fillId="35" borderId="49" xfId="305" applyNumberFormat="1" applyFont="1" applyFill="1" applyBorder="1" applyAlignment="1">
      <alignment vertical="center"/>
      <protection/>
    </xf>
    <xf numFmtId="3" fontId="20" fillId="35" borderId="30" xfId="305" applyNumberFormat="1" applyFont="1" applyFill="1" applyBorder="1" applyAlignment="1">
      <alignment vertical="center"/>
      <protection/>
    </xf>
    <xf numFmtId="166" fontId="20" fillId="35" borderId="50" xfId="305" applyNumberFormat="1" applyFont="1" applyFill="1" applyBorder="1" applyAlignment="1">
      <alignment vertical="center"/>
      <protection/>
    </xf>
    <xf numFmtId="3" fontId="20" fillId="33" borderId="53" xfId="305" applyNumberFormat="1" applyFont="1" applyFill="1" applyBorder="1" applyAlignment="1">
      <alignment vertical="center"/>
      <protection/>
    </xf>
    <xf numFmtId="3" fontId="20" fillId="35" borderId="48" xfId="305" applyNumberFormat="1" applyFont="1" applyFill="1" applyBorder="1" applyAlignment="1">
      <alignment vertical="center"/>
      <protection/>
    </xf>
    <xf numFmtId="3" fontId="20" fillId="33" borderId="48" xfId="305" applyNumberFormat="1" applyFont="1" applyFill="1" applyBorder="1" applyAlignment="1">
      <alignment vertical="center"/>
      <protection/>
    </xf>
    <xf numFmtId="3" fontId="22" fillId="0" borderId="33" xfId="308" applyNumberFormat="1" applyFont="1" applyFill="1" applyBorder="1" applyAlignment="1" applyProtection="1">
      <alignment vertical="center"/>
      <protection locked="0"/>
    </xf>
    <xf numFmtId="3" fontId="22" fillId="0" borderId="54" xfId="308" applyNumberFormat="1" applyFont="1" applyFill="1" applyBorder="1" applyAlignment="1" applyProtection="1">
      <alignment vertical="center"/>
      <protection locked="0"/>
    </xf>
    <xf numFmtId="3" fontId="22" fillId="0" borderId="55" xfId="308" applyNumberFormat="1" applyFont="1" applyFill="1" applyBorder="1" applyAlignment="1" applyProtection="1">
      <alignment vertical="center"/>
      <protection locked="0"/>
    </xf>
    <xf numFmtId="9" fontId="22" fillId="34" borderId="17" xfId="308" applyNumberFormat="1" applyFont="1" applyFill="1" applyBorder="1" applyAlignment="1" applyProtection="1">
      <alignment horizontal="right" vertical="center"/>
      <protection locked="0"/>
    </xf>
    <xf numFmtId="3" fontId="20" fillId="33" borderId="53" xfId="308" applyNumberFormat="1" applyFont="1" applyFill="1" applyBorder="1" applyAlignment="1">
      <alignment horizontal="right" vertical="center"/>
      <protection/>
    </xf>
    <xf numFmtId="3" fontId="20" fillId="33" borderId="30" xfId="308" applyNumberFormat="1" applyFont="1" applyFill="1" applyBorder="1" applyAlignment="1">
      <alignment horizontal="right" vertical="center"/>
      <protection/>
    </xf>
    <xf numFmtId="3" fontId="22" fillId="0" borderId="48" xfId="305" applyNumberFormat="1" applyFont="1" applyFill="1" applyBorder="1" applyAlignment="1">
      <alignment vertical="center"/>
      <protection/>
    </xf>
    <xf numFmtId="9" fontId="17" fillId="0" borderId="17" xfId="308" applyNumberFormat="1" applyFont="1" applyFill="1" applyBorder="1" applyAlignment="1" applyProtection="1">
      <alignment vertical="center"/>
      <protection/>
    </xf>
    <xf numFmtId="3" fontId="22" fillId="0" borderId="27" xfId="305" applyNumberFormat="1" applyFont="1" applyFill="1" applyBorder="1" applyAlignment="1">
      <alignment vertical="center"/>
      <protection/>
    </xf>
    <xf numFmtId="3" fontId="17" fillId="0" borderId="0" xfId="308" applyNumberFormat="1" applyFont="1" applyFill="1" applyBorder="1" applyAlignment="1" applyProtection="1">
      <alignment vertical="center"/>
      <protection/>
    </xf>
    <xf numFmtId="166" fontId="17" fillId="0" borderId="17" xfId="308" applyNumberFormat="1" applyFont="1" applyFill="1" applyBorder="1" applyAlignment="1" applyProtection="1">
      <alignment vertical="center"/>
      <protection/>
    </xf>
    <xf numFmtId="3" fontId="20" fillId="36" borderId="56" xfId="308" applyNumberFormat="1" applyFont="1" applyFill="1" applyBorder="1" applyAlignment="1" applyProtection="1">
      <alignment vertical="center"/>
      <protection/>
    </xf>
    <xf numFmtId="9" fontId="20" fillId="36" borderId="57" xfId="308" applyNumberFormat="1" applyFont="1" applyFill="1" applyBorder="1" applyAlignment="1" applyProtection="1">
      <alignment vertical="center"/>
      <protection/>
    </xf>
    <xf numFmtId="3" fontId="20" fillId="36" borderId="58" xfId="308" applyNumberFormat="1" applyFont="1" applyFill="1" applyBorder="1" applyAlignment="1" applyProtection="1">
      <alignment vertical="center"/>
      <protection/>
    </xf>
    <xf numFmtId="166" fontId="20" fillId="36" borderId="59" xfId="308" applyNumberFormat="1" applyFont="1" applyFill="1" applyBorder="1" applyAlignment="1" applyProtection="1">
      <alignment vertical="center"/>
      <protection/>
    </xf>
    <xf numFmtId="3" fontId="22" fillId="24" borderId="0" xfId="305" applyNumberFormat="1" applyFont="1" applyFill="1" applyBorder="1" applyAlignment="1" applyProtection="1">
      <alignment vertical="center"/>
      <protection/>
    </xf>
    <xf numFmtId="3" fontId="20" fillId="36" borderId="0" xfId="308" applyNumberFormat="1" applyFont="1" applyFill="1" applyBorder="1" applyAlignment="1" applyProtection="1">
      <alignment vertical="center"/>
      <protection/>
    </xf>
    <xf numFmtId="1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8" fillId="37" borderId="60" xfId="308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wrapText="1"/>
    </xf>
    <xf numFmtId="3" fontId="6" fillId="38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2" fillId="2" borderId="11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wrapText="1"/>
    </xf>
    <xf numFmtId="3" fontId="2" fillId="2" borderId="11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 wrapText="1"/>
    </xf>
    <xf numFmtId="49" fontId="2" fillId="2" borderId="11" xfId="0" applyNumberFormat="1" applyFont="1" applyFill="1" applyBorder="1" applyAlignment="1">
      <alignment horizontal="right" wrapText="1"/>
    </xf>
    <xf numFmtId="49" fontId="2" fillId="39" borderId="11" xfId="0" applyNumberFormat="1" applyFont="1" applyFill="1" applyBorder="1" applyAlignment="1">
      <alignment horizontal="right" wrapText="1"/>
    </xf>
    <xf numFmtId="49" fontId="5" fillId="39" borderId="11" xfId="0" applyNumberFormat="1" applyFont="1" applyFill="1" applyBorder="1" applyAlignment="1">
      <alignment wrapText="1"/>
    </xf>
    <xf numFmtId="3" fontId="2" fillId="39" borderId="11" xfId="0" applyNumberFormat="1" applyFont="1" applyFill="1" applyBorder="1" applyAlignment="1">
      <alignment/>
    </xf>
    <xf numFmtId="165" fontId="2" fillId="39" borderId="11" xfId="0" applyNumberFormat="1" applyFont="1" applyFill="1" applyBorder="1" applyAlignment="1">
      <alignment/>
    </xf>
    <xf numFmtId="49" fontId="60" fillId="39" borderId="11" xfId="0" applyNumberFormat="1" applyFont="1" applyFill="1" applyBorder="1" applyAlignment="1">
      <alignment horizontal="right" wrapText="1"/>
    </xf>
    <xf numFmtId="49" fontId="61" fillId="39" borderId="11" xfId="0" applyNumberFormat="1" applyFont="1" applyFill="1" applyBorder="1" applyAlignment="1">
      <alignment wrapText="1"/>
    </xf>
    <xf numFmtId="3" fontId="62" fillId="39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1" xfId="304" applyFont="1" applyBorder="1" applyAlignment="1">
      <alignment wrapText="1"/>
      <protection/>
    </xf>
    <xf numFmtId="49" fontId="9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62" fillId="0" borderId="11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3" fontId="62" fillId="0" borderId="11" xfId="0" applyNumberFormat="1" applyFont="1" applyFill="1" applyBorder="1" applyAlignment="1">
      <alignment/>
    </xf>
    <xf numFmtId="0" fontId="63" fillId="0" borderId="11" xfId="0" applyFont="1" applyFill="1" applyBorder="1" applyAlignment="1">
      <alignment wrapText="1"/>
    </xf>
    <xf numFmtId="0" fontId="64" fillId="0" borderId="11" xfId="0" applyFont="1" applyFill="1" applyBorder="1" applyAlignment="1">
      <alignment wrapText="1"/>
    </xf>
    <xf numFmtId="3" fontId="63" fillId="0" borderId="11" xfId="0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63" fillId="2" borderId="11" xfId="0" applyFont="1" applyFill="1" applyBorder="1" applyAlignment="1">
      <alignment wrapText="1"/>
    </xf>
    <xf numFmtId="0" fontId="64" fillId="2" borderId="11" xfId="0" applyFont="1" applyFill="1" applyBorder="1" applyAlignment="1">
      <alignment wrapText="1"/>
    </xf>
    <xf numFmtId="3" fontId="63" fillId="2" borderId="11" xfId="0" applyNumberFormat="1" applyFont="1" applyFill="1" applyBorder="1" applyAlignment="1">
      <alignment/>
    </xf>
    <xf numFmtId="0" fontId="2" fillId="39" borderId="0" xfId="0" applyFont="1" applyFill="1" applyAlignment="1">
      <alignment horizontal="right"/>
    </xf>
    <xf numFmtId="0" fontId="63" fillId="39" borderId="1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2" fillId="0" borderId="19" xfId="0" applyFont="1" applyFill="1" applyBorder="1" applyAlignment="1">
      <alignment horizontal="right"/>
    </xf>
    <xf numFmtId="49" fontId="2" fillId="0" borderId="61" xfId="0" applyNumberFormat="1" applyFont="1" applyFill="1" applyBorder="1" applyAlignment="1">
      <alignment wrapText="1"/>
    </xf>
    <xf numFmtId="49" fontId="5" fillId="0" borderId="61" xfId="0" applyNumberFormat="1" applyFont="1" applyFill="1" applyBorder="1" applyAlignment="1">
      <alignment wrapText="1"/>
    </xf>
    <xf numFmtId="3" fontId="6" fillId="0" borderId="61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6" fillId="0" borderId="11" xfId="304" applyFont="1" applyBorder="1" applyAlignment="1">
      <alignment wrapText="1"/>
      <protection/>
    </xf>
    <xf numFmtId="49" fontId="6" fillId="39" borderId="11" xfId="0" applyNumberFormat="1" applyFont="1" applyFill="1" applyBorder="1" applyAlignment="1">
      <alignment wrapText="1"/>
    </xf>
    <xf numFmtId="3" fontId="3" fillId="39" borderId="11" xfId="0" applyNumberFormat="1" applyFont="1" applyFill="1" applyBorder="1" applyAlignment="1">
      <alignment/>
    </xf>
    <xf numFmtId="49" fontId="2" fillId="39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3" fontId="8" fillId="2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62" xfId="0" applyBorder="1" applyAlignment="1">
      <alignment/>
    </xf>
    <xf numFmtId="49" fontId="2" fillId="39" borderId="11" xfId="0" applyNumberFormat="1" applyFont="1" applyFill="1" applyBorder="1" applyAlignment="1">
      <alignment horizontal="left" wrapText="1"/>
    </xf>
    <xf numFmtId="3" fontId="23" fillId="2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3" fontId="46" fillId="0" borderId="11" xfId="251" applyNumberFormat="1" applyFont="1" applyFill="1" applyBorder="1" applyAlignment="1">
      <alignment/>
    </xf>
    <xf numFmtId="3" fontId="3" fillId="40" borderId="11" xfId="0" applyNumberFormat="1" applyFont="1" applyFill="1" applyBorder="1" applyAlignment="1">
      <alignment/>
    </xf>
    <xf numFmtId="0" fontId="10" fillId="0" borderId="0" xfId="282">
      <alignment/>
      <protection/>
    </xf>
    <xf numFmtId="0" fontId="7" fillId="0" borderId="63" xfId="305" applyFont="1" applyBorder="1" applyAlignment="1">
      <alignment horizontal="center" vertical="center"/>
      <protection/>
    </xf>
    <xf numFmtId="0" fontId="19" fillId="0" borderId="18" xfId="305" applyFont="1" applyBorder="1" applyAlignment="1">
      <alignment horizontal="left" vertical="center"/>
      <protection/>
    </xf>
    <xf numFmtId="0" fontId="17" fillId="0" borderId="19" xfId="305" applyFont="1" applyBorder="1" applyAlignment="1">
      <alignment vertical="center"/>
      <protection/>
    </xf>
    <xf numFmtId="0" fontId="19" fillId="0" borderId="19" xfId="308" applyFont="1" applyFill="1" applyBorder="1" applyAlignment="1" applyProtection="1">
      <alignment horizontal="left" vertical="center"/>
      <protection locked="0"/>
    </xf>
    <xf numFmtId="0" fontId="7" fillId="0" borderId="0" xfId="305" applyFont="1" applyBorder="1" applyAlignment="1">
      <alignment horizontal="center" vertical="center"/>
      <protection/>
    </xf>
    <xf numFmtId="0" fontId="20" fillId="33" borderId="28" xfId="308" applyFont="1" applyFill="1" applyBorder="1" applyAlignment="1">
      <alignment horizontal="left" vertical="center"/>
      <protection/>
    </xf>
    <xf numFmtId="0" fontId="20" fillId="33" borderId="29" xfId="308" applyFont="1" applyFill="1" applyBorder="1" applyAlignment="1">
      <alignment horizontal="left" vertical="center"/>
      <protection/>
    </xf>
    <xf numFmtId="0" fontId="20" fillId="33" borderId="29" xfId="308" applyFont="1" applyFill="1" applyBorder="1" applyAlignment="1">
      <alignment vertical="center"/>
      <protection/>
    </xf>
    <xf numFmtId="0" fontId="4" fillId="24" borderId="15" xfId="308" applyFont="1" applyFill="1" applyBorder="1" applyAlignment="1">
      <alignment horizontal="left" vertical="center"/>
      <protection/>
    </xf>
    <xf numFmtId="0" fontId="4" fillId="24" borderId="16" xfId="308" applyFont="1" applyFill="1" applyBorder="1" applyAlignment="1">
      <alignment horizontal="left" vertical="center"/>
      <protection/>
    </xf>
    <xf numFmtId="0" fontId="20" fillId="24" borderId="16" xfId="308" applyFont="1" applyFill="1" applyBorder="1" applyAlignment="1">
      <alignment vertical="center"/>
      <protection/>
    </xf>
    <xf numFmtId="0" fontId="5" fillId="0" borderId="34" xfId="308" applyFont="1" applyFill="1" applyBorder="1" applyAlignment="1">
      <alignment horizontal="left" vertical="center"/>
      <protection/>
    </xf>
    <xf numFmtId="9" fontId="22" fillId="24" borderId="0" xfId="305" applyNumberFormat="1" applyFont="1" applyFill="1" applyBorder="1" applyAlignment="1" applyProtection="1">
      <alignment vertical="center"/>
      <protection/>
    </xf>
    <xf numFmtId="9" fontId="20" fillId="36" borderId="0" xfId="308" applyNumberFormat="1" applyFont="1" applyFill="1" applyBorder="1" applyAlignment="1" applyProtection="1">
      <alignment vertical="center"/>
      <protection/>
    </xf>
    <xf numFmtId="9" fontId="22" fillId="24" borderId="0" xfId="305" applyNumberFormat="1" applyFont="1" applyFill="1" applyBorder="1" applyAlignment="1" applyProtection="1">
      <alignment horizontal="right" vertical="center"/>
      <protection/>
    </xf>
    <xf numFmtId="0" fontId="4" fillId="36" borderId="0" xfId="308" applyFont="1" applyFill="1" applyBorder="1" applyAlignment="1">
      <alignment vertical="center" wrapText="1"/>
      <protection/>
    </xf>
    <xf numFmtId="0" fontId="5" fillId="36" borderId="0" xfId="305" applyFont="1" applyFill="1" applyBorder="1" applyAlignment="1">
      <alignment vertical="center" wrapText="1"/>
      <protection/>
    </xf>
    <xf numFmtId="0" fontId="16" fillId="0" borderId="64" xfId="305" applyFont="1" applyBorder="1" applyAlignment="1">
      <alignment horizontal="center" vertical="center" wrapText="1"/>
      <protection/>
    </xf>
    <xf numFmtId="0" fontId="16" fillId="0" borderId="63" xfId="305" applyFont="1" applyBorder="1" applyAlignment="1">
      <alignment horizontal="center" vertical="center" wrapText="1"/>
      <protection/>
    </xf>
    <xf numFmtId="4" fontId="12" fillId="0" borderId="35" xfId="308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308" applyNumberFormat="1" applyFont="1" applyFill="1" applyBorder="1" applyAlignment="1" applyProtection="1">
      <alignment horizontal="center" vertical="center" wrapText="1"/>
      <protection locked="0"/>
    </xf>
    <xf numFmtId="4" fontId="12" fillId="0" borderId="56" xfId="308" applyNumberFormat="1" applyFont="1" applyFill="1" applyBorder="1" applyAlignment="1" applyProtection="1">
      <alignment horizontal="center" vertical="center" wrapText="1"/>
      <protection locked="0"/>
    </xf>
    <xf numFmtId="4" fontId="12" fillId="0" borderId="65" xfId="308" applyNumberFormat="1" applyFont="1" applyFill="1" applyBorder="1" applyAlignment="1" applyProtection="1">
      <alignment horizontal="center" vertical="center" wrapText="1"/>
      <protection locked="0"/>
    </xf>
    <xf numFmtId="0" fontId="14" fillId="0" borderId="66" xfId="305" applyFont="1" applyBorder="1" applyAlignment="1">
      <alignment horizontal="center" vertical="center"/>
      <protection/>
    </xf>
    <xf numFmtId="0" fontId="14" fillId="0" borderId="41" xfId="305" applyFont="1" applyBorder="1" applyAlignment="1">
      <alignment horizontal="center" vertical="center"/>
      <protection/>
    </xf>
    <xf numFmtId="0" fontId="7" fillId="0" borderId="63" xfId="305" applyFont="1" applyBorder="1" applyAlignment="1">
      <alignment horizontal="center" vertical="center"/>
      <protection/>
    </xf>
    <xf numFmtId="0" fontId="7" fillId="0" borderId="57" xfId="305" applyFont="1" applyBorder="1" applyAlignment="1">
      <alignment horizontal="center" vertical="center"/>
      <protection/>
    </xf>
    <xf numFmtId="0" fontId="4" fillId="36" borderId="63" xfId="308" applyFont="1" applyFill="1" applyBorder="1" applyAlignment="1">
      <alignment vertical="center" wrapText="1"/>
      <protection/>
    </xf>
    <xf numFmtId="0" fontId="5" fillId="36" borderId="63" xfId="305" applyFont="1" applyFill="1" applyBorder="1" applyAlignment="1">
      <alignment vertical="center" wrapText="1"/>
      <protection/>
    </xf>
    <xf numFmtId="0" fontId="3" fillId="0" borderId="6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68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</cellXfs>
  <cellStyles count="312">
    <cellStyle name="Normal" xfId="0"/>
    <cellStyle name="20% – rõhk1" xfId="15"/>
    <cellStyle name="20% – rõhk1 10" xfId="16"/>
    <cellStyle name="20% – rõhk1 2" xfId="17"/>
    <cellStyle name="20% – rõhk1 2 2" xfId="18"/>
    <cellStyle name="20% – rõhk1 2 2 2" xfId="19"/>
    <cellStyle name="20% – rõhk1 2 3" xfId="20"/>
    <cellStyle name="20% – rõhk1 3" xfId="21"/>
    <cellStyle name="20% – rõhk1 3 2" xfId="22"/>
    <cellStyle name="20% – rõhk1 4" xfId="23"/>
    <cellStyle name="20% – rõhk1 4 2" xfId="24"/>
    <cellStyle name="20% – rõhk1 5" xfId="25"/>
    <cellStyle name="20% – rõhk1 5 2" xfId="26"/>
    <cellStyle name="20% – rõhk1 6" xfId="27"/>
    <cellStyle name="20% – rõhk1 6 2" xfId="28"/>
    <cellStyle name="20% – rõhk1 7" xfId="29"/>
    <cellStyle name="20% – rõhk1 7 2" xfId="30"/>
    <cellStyle name="20% – rõhk1 8" xfId="31"/>
    <cellStyle name="20% – rõhk1 8 2" xfId="32"/>
    <cellStyle name="20% – rõhk1 9" xfId="33"/>
    <cellStyle name="20% – rõhk2" xfId="34"/>
    <cellStyle name="20% – rõhk2 10" xfId="35"/>
    <cellStyle name="20% – rõhk2 2" xfId="36"/>
    <cellStyle name="20% – rõhk2 2 2" xfId="37"/>
    <cellStyle name="20% – rõhk2 2 2 2" xfId="38"/>
    <cellStyle name="20% – rõhk2 2 3" xfId="39"/>
    <cellStyle name="20% – rõhk2 3" xfId="40"/>
    <cellStyle name="20% – rõhk2 3 2" xfId="41"/>
    <cellStyle name="20% – rõhk2 4" xfId="42"/>
    <cellStyle name="20% – rõhk2 4 2" xfId="43"/>
    <cellStyle name="20% – rõhk2 5" xfId="44"/>
    <cellStyle name="20% – rõhk2 5 2" xfId="45"/>
    <cellStyle name="20% – rõhk2 6" xfId="46"/>
    <cellStyle name="20% – rõhk2 6 2" xfId="47"/>
    <cellStyle name="20% – rõhk2 7" xfId="48"/>
    <cellStyle name="20% – rõhk2 7 2" xfId="49"/>
    <cellStyle name="20% – rõhk2 8" xfId="50"/>
    <cellStyle name="20% – rõhk2 8 2" xfId="51"/>
    <cellStyle name="20% – rõhk2 9" xfId="52"/>
    <cellStyle name="20% – rõhk3" xfId="53"/>
    <cellStyle name="20% – rõhk3 10" xfId="54"/>
    <cellStyle name="20% – rõhk3 2" xfId="55"/>
    <cellStyle name="20% – rõhk3 2 2" xfId="56"/>
    <cellStyle name="20% – rõhk3 2 2 2" xfId="57"/>
    <cellStyle name="20% – rõhk3 2 3" xfId="58"/>
    <cellStyle name="20% – rõhk3 3" xfId="59"/>
    <cellStyle name="20% – rõhk3 3 2" xfId="60"/>
    <cellStyle name="20% – rõhk3 4" xfId="61"/>
    <cellStyle name="20% – rõhk3 4 2" xfId="62"/>
    <cellStyle name="20% – rõhk3 5" xfId="63"/>
    <cellStyle name="20% – rõhk3 5 2" xfId="64"/>
    <cellStyle name="20% – rõhk3 6" xfId="65"/>
    <cellStyle name="20% – rõhk3 6 2" xfId="66"/>
    <cellStyle name="20% – rõhk3 7" xfId="67"/>
    <cellStyle name="20% – rõhk3 7 2" xfId="68"/>
    <cellStyle name="20% – rõhk3 8" xfId="69"/>
    <cellStyle name="20% – rõhk3 8 2" xfId="70"/>
    <cellStyle name="20% – rõhk3 9" xfId="71"/>
    <cellStyle name="20% – rõhk4" xfId="72"/>
    <cellStyle name="20% – rõhk4 10" xfId="73"/>
    <cellStyle name="20% – rõhk4 2" xfId="74"/>
    <cellStyle name="20% – rõhk4 2 2" xfId="75"/>
    <cellStyle name="20% – rõhk4 2 2 2" xfId="76"/>
    <cellStyle name="20% – rõhk4 2 3" xfId="77"/>
    <cellStyle name="20% – rõhk4 3" xfId="78"/>
    <cellStyle name="20% – rõhk4 3 2" xfId="79"/>
    <cellStyle name="20% – rõhk4 4" xfId="80"/>
    <cellStyle name="20% – rõhk4 4 2" xfId="81"/>
    <cellStyle name="20% – rõhk4 5" xfId="82"/>
    <cellStyle name="20% – rõhk4 5 2" xfId="83"/>
    <cellStyle name="20% – rõhk4 6" xfId="84"/>
    <cellStyle name="20% – rõhk4 6 2" xfId="85"/>
    <cellStyle name="20% – rõhk4 7" xfId="86"/>
    <cellStyle name="20% – rõhk4 7 2" xfId="87"/>
    <cellStyle name="20% – rõhk4 8" xfId="88"/>
    <cellStyle name="20% – rõhk4 8 2" xfId="89"/>
    <cellStyle name="20% – rõhk4 9" xfId="90"/>
    <cellStyle name="20% – rõhk5" xfId="91"/>
    <cellStyle name="20% – rõhk5 10" xfId="92"/>
    <cellStyle name="20% – rõhk5 2" xfId="93"/>
    <cellStyle name="20% – rõhk5 2 2" xfId="94"/>
    <cellStyle name="20% – rõhk5 2 2 2" xfId="95"/>
    <cellStyle name="20% – rõhk5 2 3" xfId="96"/>
    <cellStyle name="20% – rõhk5 3" xfId="97"/>
    <cellStyle name="20% – rõhk5 3 2" xfId="98"/>
    <cellStyle name="20% – rõhk5 4" xfId="99"/>
    <cellStyle name="20% – rõhk5 4 2" xfId="100"/>
    <cellStyle name="20% – rõhk5 5" xfId="101"/>
    <cellStyle name="20% – rõhk5 5 2" xfId="102"/>
    <cellStyle name="20% – rõhk5 6" xfId="103"/>
    <cellStyle name="20% – rõhk5 6 2" xfId="104"/>
    <cellStyle name="20% – rõhk5 7" xfId="105"/>
    <cellStyle name="20% – rõhk5 7 2" xfId="106"/>
    <cellStyle name="20% – rõhk5 8" xfId="107"/>
    <cellStyle name="20% – rõhk5 8 2" xfId="108"/>
    <cellStyle name="20% – rõhk5 9" xfId="109"/>
    <cellStyle name="20% – rõhk6" xfId="110"/>
    <cellStyle name="20% – rõhk6 10" xfId="111"/>
    <cellStyle name="20% – rõhk6 2" xfId="112"/>
    <cellStyle name="20% – rõhk6 2 2" xfId="113"/>
    <cellStyle name="20% – rõhk6 2 2 2" xfId="114"/>
    <cellStyle name="20% – rõhk6 2 3" xfId="115"/>
    <cellStyle name="20% – rõhk6 3" xfId="116"/>
    <cellStyle name="20% – rõhk6 3 2" xfId="117"/>
    <cellStyle name="20% – rõhk6 4" xfId="118"/>
    <cellStyle name="20% – rõhk6 4 2" xfId="119"/>
    <cellStyle name="20% – rõhk6 5" xfId="120"/>
    <cellStyle name="20% – rõhk6 5 2" xfId="121"/>
    <cellStyle name="20% – rõhk6 6" xfId="122"/>
    <cellStyle name="20% – rõhk6 6 2" xfId="123"/>
    <cellStyle name="20% – rõhk6 7" xfId="124"/>
    <cellStyle name="20% – rõhk6 7 2" xfId="125"/>
    <cellStyle name="20% – rõhk6 8" xfId="126"/>
    <cellStyle name="20% – rõhk6 8 2" xfId="127"/>
    <cellStyle name="20% – rõhk6 9" xfId="128"/>
    <cellStyle name="40% – rõhk1" xfId="129"/>
    <cellStyle name="40% – rõhk1 10" xfId="130"/>
    <cellStyle name="40% – rõhk1 2" xfId="131"/>
    <cellStyle name="40% – rõhk1 2 2" xfId="132"/>
    <cellStyle name="40% – rõhk1 2 2 2" xfId="133"/>
    <cellStyle name="40% – rõhk1 2 3" xfId="134"/>
    <cellStyle name="40% – rõhk1 3" xfId="135"/>
    <cellStyle name="40% – rõhk1 3 2" xfId="136"/>
    <cellStyle name="40% – rõhk1 4" xfId="137"/>
    <cellStyle name="40% – rõhk1 4 2" xfId="138"/>
    <cellStyle name="40% – rõhk1 5" xfId="139"/>
    <cellStyle name="40% – rõhk1 5 2" xfId="140"/>
    <cellStyle name="40% – rõhk1 6" xfId="141"/>
    <cellStyle name="40% – rõhk1 6 2" xfId="142"/>
    <cellStyle name="40% – rõhk1 7" xfId="143"/>
    <cellStyle name="40% – rõhk1 7 2" xfId="144"/>
    <cellStyle name="40% – rõhk1 8" xfId="145"/>
    <cellStyle name="40% – rõhk1 8 2" xfId="146"/>
    <cellStyle name="40% – rõhk1 9" xfId="147"/>
    <cellStyle name="40% – rõhk2" xfId="148"/>
    <cellStyle name="40% – rõhk2 10" xfId="149"/>
    <cellStyle name="40% – rõhk2 2" xfId="150"/>
    <cellStyle name="40% – rõhk2 2 2" xfId="151"/>
    <cellStyle name="40% – rõhk2 2 2 2" xfId="152"/>
    <cellStyle name="40% – rõhk2 2 3" xfId="153"/>
    <cellStyle name="40% – rõhk2 3" xfId="154"/>
    <cellStyle name="40% – rõhk2 3 2" xfId="155"/>
    <cellStyle name="40% – rõhk2 4" xfId="156"/>
    <cellStyle name="40% – rõhk2 4 2" xfId="157"/>
    <cellStyle name="40% – rõhk2 5" xfId="158"/>
    <cellStyle name="40% – rõhk2 5 2" xfId="159"/>
    <cellStyle name="40% – rõhk2 6" xfId="160"/>
    <cellStyle name="40% – rõhk2 6 2" xfId="161"/>
    <cellStyle name="40% – rõhk2 7" xfId="162"/>
    <cellStyle name="40% – rõhk2 7 2" xfId="163"/>
    <cellStyle name="40% – rõhk2 8" xfId="164"/>
    <cellStyle name="40% – rõhk2 8 2" xfId="165"/>
    <cellStyle name="40% – rõhk2 9" xfId="166"/>
    <cellStyle name="40% – rõhk3" xfId="167"/>
    <cellStyle name="40% – rõhk3 10" xfId="168"/>
    <cellStyle name="40% – rõhk3 2" xfId="169"/>
    <cellStyle name="40% – rõhk3 2 2" xfId="170"/>
    <cellStyle name="40% – rõhk3 2 2 2" xfId="171"/>
    <cellStyle name="40% – rõhk3 2 3" xfId="172"/>
    <cellStyle name="40% – rõhk3 3" xfId="173"/>
    <cellStyle name="40% – rõhk3 3 2" xfId="174"/>
    <cellStyle name="40% – rõhk3 4" xfId="175"/>
    <cellStyle name="40% – rõhk3 4 2" xfId="176"/>
    <cellStyle name="40% – rõhk3 5" xfId="177"/>
    <cellStyle name="40% – rõhk3 5 2" xfId="178"/>
    <cellStyle name="40% – rõhk3 6" xfId="179"/>
    <cellStyle name="40% – rõhk3 6 2" xfId="180"/>
    <cellStyle name="40% – rõhk3 7" xfId="181"/>
    <cellStyle name="40% – rõhk3 7 2" xfId="182"/>
    <cellStyle name="40% – rõhk3 8" xfId="183"/>
    <cellStyle name="40% – rõhk3 8 2" xfId="184"/>
    <cellStyle name="40% – rõhk3 9" xfId="185"/>
    <cellStyle name="40% – rõhk4" xfId="186"/>
    <cellStyle name="40% – rõhk4 10" xfId="187"/>
    <cellStyle name="40% – rõhk4 2" xfId="188"/>
    <cellStyle name="40% – rõhk4 2 2" xfId="189"/>
    <cellStyle name="40% – rõhk4 2 2 2" xfId="190"/>
    <cellStyle name="40% – rõhk4 2 3" xfId="191"/>
    <cellStyle name="40% – rõhk4 3" xfId="192"/>
    <cellStyle name="40% – rõhk4 3 2" xfId="193"/>
    <cellStyle name="40% – rõhk4 4" xfId="194"/>
    <cellStyle name="40% – rõhk4 4 2" xfId="195"/>
    <cellStyle name="40% – rõhk4 5" xfId="196"/>
    <cellStyle name="40% – rõhk4 5 2" xfId="197"/>
    <cellStyle name="40% – rõhk4 6" xfId="198"/>
    <cellStyle name="40% – rõhk4 6 2" xfId="199"/>
    <cellStyle name="40% – rõhk4 7" xfId="200"/>
    <cellStyle name="40% – rõhk4 7 2" xfId="201"/>
    <cellStyle name="40% – rõhk4 8" xfId="202"/>
    <cellStyle name="40% – rõhk4 8 2" xfId="203"/>
    <cellStyle name="40% – rõhk4 9" xfId="204"/>
    <cellStyle name="40% – rõhk5" xfId="205"/>
    <cellStyle name="40% – rõhk5 10" xfId="206"/>
    <cellStyle name="40% – rõhk5 2" xfId="207"/>
    <cellStyle name="40% – rõhk5 2 2" xfId="208"/>
    <cellStyle name="40% – rõhk5 2 2 2" xfId="209"/>
    <cellStyle name="40% – rõhk5 2 3" xfId="210"/>
    <cellStyle name="40% – rõhk5 3" xfId="211"/>
    <cellStyle name="40% – rõhk5 3 2" xfId="212"/>
    <cellStyle name="40% – rõhk5 4" xfId="213"/>
    <cellStyle name="40% – rõhk5 4 2" xfId="214"/>
    <cellStyle name="40% – rõhk5 5" xfId="215"/>
    <cellStyle name="40% – rõhk5 5 2" xfId="216"/>
    <cellStyle name="40% – rõhk5 6" xfId="217"/>
    <cellStyle name="40% – rõhk5 6 2" xfId="218"/>
    <cellStyle name="40% – rõhk5 7" xfId="219"/>
    <cellStyle name="40% – rõhk5 7 2" xfId="220"/>
    <cellStyle name="40% – rõhk5 8" xfId="221"/>
    <cellStyle name="40% – rõhk5 8 2" xfId="222"/>
    <cellStyle name="40% – rõhk5 9" xfId="223"/>
    <cellStyle name="40% – rõhk6" xfId="224"/>
    <cellStyle name="40% – rõhk6 10" xfId="225"/>
    <cellStyle name="40% – rõhk6 2" xfId="226"/>
    <cellStyle name="40% – rõhk6 2 2" xfId="227"/>
    <cellStyle name="40% – rõhk6 2 2 2" xfId="228"/>
    <cellStyle name="40% – rõhk6 2 3" xfId="229"/>
    <cellStyle name="40% – rõhk6 3" xfId="230"/>
    <cellStyle name="40% – rõhk6 3 2" xfId="231"/>
    <cellStyle name="40% – rõhk6 4" xfId="232"/>
    <cellStyle name="40% – rõhk6 4 2" xfId="233"/>
    <cellStyle name="40% – rõhk6 5" xfId="234"/>
    <cellStyle name="40% – rõhk6 5 2" xfId="235"/>
    <cellStyle name="40% – rõhk6 6" xfId="236"/>
    <cellStyle name="40% – rõhk6 6 2" xfId="237"/>
    <cellStyle name="40% – rõhk6 7" xfId="238"/>
    <cellStyle name="40% – rõhk6 7 2" xfId="239"/>
    <cellStyle name="40% – rõhk6 8" xfId="240"/>
    <cellStyle name="40% – rõhk6 8 2" xfId="241"/>
    <cellStyle name="40% – rõhk6 9" xfId="242"/>
    <cellStyle name="60% – rõhk1" xfId="243"/>
    <cellStyle name="60% – rõhk2" xfId="244"/>
    <cellStyle name="60% – rõhk3" xfId="245"/>
    <cellStyle name="60% – rõhk4" xfId="246"/>
    <cellStyle name="60% – rõhk5" xfId="247"/>
    <cellStyle name="60% – rõhk6" xfId="248"/>
    <cellStyle name="Arvutus" xfId="249"/>
    <cellStyle name="Halb" xfId="250"/>
    <cellStyle name="Hea" xfId="251"/>
    <cellStyle name="Hoiatuse tekst" xfId="252"/>
    <cellStyle name="Kokku" xfId="253"/>
    <cellStyle name="Comma" xfId="254"/>
    <cellStyle name="Comma [0]" xfId="255"/>
    <cellStyle name="Kontrolli lahtrit" xfId="256"/>
    <cellStyle name="Lingitud lahter" xfId="257"/>
    <cellStyle name="Märkus" xfId="258"/>
    <cellStyle name="Märkus 2" xfId="259"/>
    <cellStyle name="Märkus 2 2" xfId="260"/>
    <cellStyle name="Märkus 2 2 2" xfId="261"/>
    <cellStyle name="Märkus 2 3" xfId="262"/>
    <cellStyle name="Märkus 3" xfId="263"/>
    <cellStyle name="Märkus 3 2" xfId="264"/>
    <cellStyle name="Märkus 3 2 2" xfId="265"/>
    <cellStyle name="Märkus 3 3" xfId="266"/>
    <cellStyle name="Märkus 4" xfId="267"/>
    <cellStyle name="Märkus 4 2" xfId="268"/>
    <cellStyle name="Märkus 5" xfId="269"/>
    <cellStyle name="Märkus 5 2" xfId="270"/>
    <cellStyle name="Märkus 6" xfId="271"/>
    <cellStyle name="Märkus 6 2" xfId="272"/>
    <cellStyle name="Märkus 7" xfId="273"/>
    <cellStyle name="Märkus 7 2" xfId="274"/>
    <cellStyle name="Märkus 8" xfId="275"/>
    <cellStyle name="Märkus 8 2" xfId="276"/>
    <cellStyle name="Märkus 9" xfId="277"/>
    <cellStyle name="Neutraalne" xfId="278"/>
    <cellStyle name="Normaallaad 10" xfId="279"/>
    <cellStyle name="Normaallaad 10 2" xfId="280"/>
    <cellStyle name="Normaallaad 11" xfId="281"/>
    <cellStyle name="Normaallaad 2" xfId="282"/>
    <cellStyle name="Normaallaad 2 2" xfId="283"/>
    <cellStyle name="Normaallaad 2 2 2" xfId="284"/>
    <cellStyle name="Normaallaad 2 3" xfId="285"/>
    <cellStyle name="Normaallaad 3" xfId="286"/>
    <cellStyle name="Normaallaad 3 2" xfId="287"/>
    <cellStyle name="Normaallaad 3 2 2" xfId="288"/>
    <cellStyle name="Normaallaad 3 3" xfId="289"/>
    <cellStyle name="Normaallaad 4" xfId="290"/>
    <cellStyle name="Normaallaad 4 2" xfId="291"/>
    <cellStyle name="Normaallaad 4 2 2" xfId="292"/>
    <cellStyle name="Normaallaad 4 3" xfId="293"/>
    <cellStyle name="Normaallaad 5" xfId="294"/>
    <cellStyle name="Normaallaad 5 2" xfId="295"/>
    <cellStyle name="Normaallaad 6" xfId="296"/>
    <cellStyle name="Normaallaad 6 2" xfId="297"/>
    <cellStyle name="Normaallaad 7" xfId="298"/>
    <cellStyle name="Normaallaad 7 2" xfId="299"/>
    <cellStyle name="Normaallaad 8" xfId="300"/>
    <cellStyle name="Normaallaad 8 2" xfId="301"/>
    <cellStyle name="Normaallaad 9" xfId="302"/>
    <cellStyle name="Normaallaad 9 2" xfId="303"/>
    <cellStyle name="Normaallaad_Leht1" xfId="304"/>
    <cellStyle name="Normal 2" xfId="305"/>
    <cellStyle name="Normal 3" xfId="306"/>
    <cellStyle name="Normal 4" xfId="307"/>
    <cellStyle name="Normal_Sheet1 2" xfId="308"/>
    <cellStyle name="Pealkiri" xfId="309"/>
    <cellStyle name="Pealkiri 1" xfId="310"/>
    <cellStyle name="Pealkiri 2" xfId="311"/>
    <cellStyle name="Pealkiri 3" xfId="312"/>
    <cellStyle name="Pealkiri 4" xfId="313"/>
    <cellStyle name="Percent" xfId="314"/>
    <cellStyle name="Rõhk1" xfId="315"/>
    <cellStyle name="Rõhk2" xfId="316"/>
    <cellStyle name="Rõhk3" xfId="317"/>
    <cellStyle name="Rõhk4" xfId="318"/>
    <cellStyle name="Rõhk5" xfId="319"/>
    <cellStyle name="Rõhk6" xfId="320"/>
    <cellStyle name="Selgitav tekst" xfId="321"/>
    <cellStyle name="Sisestus" xfId="322"/>
    <cellStyle name="Currency" xfId="323"/>
    <cellStyle name="Currency [0]" xfId="324"/>
    <cellStyle name="Väljund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A%20t&#228;itmi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u aa"/>
      <sheetName val="sep"/>
      <sheetName val="kasv"/>
      <sheetName val="koond"/>
      <sheetName val="2006-2013"/>
    </sheetNames>
    <sheetDataSet>
      <sheetData sheetId="0">
        <row r="70">
          <cell r="D70">
            <v>15305980</v>
          </cell>
          <cell r="E70">
            <v>11300474.5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2">
      <selection activeCell="B35" sqref="B35"/>
    </sheetView>
  </sheetViews>
  <sheetFormatPr defaultColWidth="9.140625" defaultRowHeight="15"/>
  <cols>
    <col min="1" max="2" width="9.140625" style="276" customWidth="1"/>
    <col min="3" max="3" width="36.140625" style="276" bestFit="1" customWidth="1"/>
    <col min="4" max="4" width="10.140625" style="276" bestFit="1" customWidth="1"/>
    <col min="5" max="16384" width="9.140625" style="276" customWidth="1"/>
  </cols>
  <sheetData>
    <row r="1" spans="1:9" ht="15" hidden="1" thickBot="1">
      <c r="A1" s="37" t="s">
        <v>163</v>
      </c>
      <c r="B1" s="38"/>
      <c r="C1" s="39"/>
      <c r="D1" s="40"/>
      <c r="E1" s="40"/>
      <c r="F1" s="41"/>
      <c r="G1" s="41"/>
      <c r="H1" s="41"/>
      <c r="I1" s="41"/>
    </row>
    <row r="2" spans="1:9" ht="16.5" thickBot="1">
      <c r="A2" s="294" t="s">
        <v>164</v>
      </c>
      <c r="B2" s="295"/>
      <c r="C2" s="295"/>
      <c r="D2" s="295"/>
      <c r="E2" s="295"/>
      <c r="F2" s="295"/>
      <c r="G2" s="41"/>
      <c r="H2" s="41"/>
      <c r="I2" s="41"/>
    </row>
    <row r="3" spans="1:9" ht="12.75">
      <c r="A3" s="42"/>
      <c r="B3" s="43" t="s">
        <v>165</v>
      </c>
      <c r="C3" s="44">
        <v>42277</v>
      </c>
      <c r="D3" s="296" t="s">
        <v>166</v>
      </c>
      <c r="E3" s="298" t="s">
        <v>167</v>
      </c>
      <c r="F3" s="300" t="s">
        <v>168</v>
      </c>
      <c r="G3" s="277">
        <v>2014</v>
      </c>
      <c r="H3" s="302" t="s">
        <v>169</v>
      </c>
      <c r="I3" s="303"/>
    </row>
    <row r="4" spans="1:9" ht="12.75">
      <c r="A4" s="278" t="s">
        <v>170</v>
      </c>
      <c r="B4" s="279"/>
      <c r="C4" s="280" t="s">
        <v>171</v>
      </c>
      <c r="D4" s="297"/>
      <c r="E4" s="299"/>
      <c r="F4" s="301"/>
      <c r="G4" s="281" t="s">
        <v>172</v>
      </c>
      <c r="H4" s="281" t="s">
        <v>173</v>
      </c>
      <c r="I4" s="45" t="s">
        <v>168</v>
      </c>
    </row>
    <row r="5" spans="1:9" ht="13.5" thickBot="1">
      <c r="A5" s="282"/>
      <c r="B5" s="283" t="s">
        <v>174</v>
      </c>
      <c r="C5" s="284"/>
      <c r="D5" s="132">
        <f>D6+D12+D13+D17</f>
        <v>116216801.46000001</v>
      </c>
      <c r="E5" s="133">
        <f>E6+E12+E13+E17</f>
        <v>89930403.14000002</v>
      </c>
      <c r="F5" s="134">
        <f aca="true" t="shared" si="0" ref="F5:F29">E5/D5</f>
        <v>0.7738158511525774</v>
      </c>
      <c r="G5" s="133">
        <f>SUM(G12:G13,G17,G6)</f>
        <v>83435393.12</v>
      </c>
      <c r="H5" s="133">
        <f>E5-G5</f>
        <v>6495010.020000011</v>
      </c>
      <c r="I5" s="135">
        <f>H5/G5</f>
        <v>0.07784478237740951</v>
      </c>
    </row>
    <row r="6" spans="1:9" ht="12.75">
      <c r="A6" s="46">
        <v>30</v>
      </c>
      <c r="B6" s="47" t="s">
        <v>175</v>
      </c>
      <c r="C6" s="48"/>
      <c r="D6" s="49">
        <f>SUM(D7:D11)</f>
        <v>61820000</v>
      </c>
      <c r="E6" s="136">
        <f>SUM(E7:E11)</f>
        <v>47316247.04000001</v>
      </c>
      <c r="F6" s="137">
        <f t="shared" si="0"/>
        <v>0.7653873671950826</v>
      </c>
      <c r="G6" s="136">
        <f>SUM(G7:G11)</f>
        <v>44350500.21</v>
      </c>
      <c r="H6" s="136">
        <f>E6-G6</f>
        <v>2965746.8300000057</v>
      </c>
      <c r="I6" s="138">
        <f aca="true" t="shared" si="1" ref="I6:I69">H6/G6</f>
        <v>0.06687065119800609</v>
      </c>
    </row>
    <row r="7" spans="1:9" ht="12.75">
      <c r="A7" s="50">
        <v>3000</v>
      </c>
      <c r="B7" s="51"/>
      <c r="C7" s="52" t="s">
        <v>176</v>
      </c>
      <c r="D7" s="53">
        <v>60200000</v>
      </c>
      <c r="E7" s="139">
        <v>46054137</v>
      </c>
      <c r="F7" s="140">
        <f t="shared" si="0"/>
        <v>0.7650188870431893</v>
      </c>
      <c r="G7" s="141">
        <v>43287655</v>
      </c>
      <c r="H7" s="141">
        <f aca="true" t="shared" si="2" ref="H7:H70">E7-G7</f>
        <v>2766482</v>
      </c>
      <c r="I7" s="54">
        <f t="shared" si="1"/>
        <v>0.06390926004192188</v>
      </c>
    </row>
    <row r="8" spans="1:9" ht="12.75">
      <c r="A8" s="50">
        <v>3030</v>
      </c>
      <c r="B8" s="51"/>
      <c r="C8" s="52" t="s">
        <v>177</v>
      </c>
      <c r="D8" s="55">
        <v>700000</v>
      </c>
      <c r="E8" s="142">
        <v>417830</v>
      </c>
      <c r="F8" s="140">
        <f t="shared" si="0"/>
        <v>0.5969</v>
      </c>
      <c r="G8" s="141">
        <v>422524</v>
      </c>
      <c r="H8" s="141">
        <f t="shared" si="2"/>
        <v>-4694</v>
      </c>
      <c r="I8" s="54">
        <f t="shared" si="1"/>
        <v>-0.011109428103492346</v>
      </c>
    </row>
    <row r="9" spans="1:9" ht="12.75">
      <c r="A9" s="50">
        <v>3044</v>
      </c>
      <c r="B9" s="51"/>
      <c r="C9" s="52" t="s">
        <v>178</v>
      </c>
      <c r="D9" s="55">
        <v>330000</v>
      </c>
      <c r="E9" s="142">
        <v>296219.14</v>
      </c>
      <c r="F9" s="140">
        <f t="shared" si="0"/>
        <v>0.8976337575757576</v>
      </c>
      <c r="G9" s="141">
        <v>234596.97</v>
      </c>
      <c r="H9" s="141">
        <f t="shared" si="2"/>
        <v>61622.17000000001</v>
      </c>
      <c r="I9" s="54">
        <f t="shared" si="1"/>
        <v>0.26267248890725237</v>
      </c>
    </row>
    <row r="10" spans="1:9" ht="12.75">
      <c r="A10" s="50">
        <v>3045</v>
      </c>
      <c r="B10" s="51"/>
      <c r="C10" s="52" t="s">
        <v>179</v>
      </c>
      <c r="D10" s="55">
        <v>130000</v>
      </c>
      <c r="E10" s="142">
        <v>221490.88</v>
      </c>
      <c r="F10" s="140">
        <f t="shared" si="0"/>
        <v>1.703776</v>
      </c>
      <c r="G10" s="141">
        <v>79705.61</v>
      </c>
      <c r="H10" s="141">
        <f t="shared" si="2"/>
        <v>141785.27000000002</v>
      </c>
      <c r="I10" s="54">
        <f t="shared" si="1"/>
        <v>1.778861864302902</v>
      </c>
    </row>
    <row r="11" spans="1:9" ht="12.75">
      <c r="A11" s="50">
        <v>3047</v>
      </c>
      <c r="B11" s="51"/>
      <c r="C11" s="56" t="s">
        <v>180</v>
      </c>
      <c r="D11" s="55">
        <v>460000</v>
      </c>
      <c r="E11" s="142">
        <v>326570.02</v>
      </c>
      <c r="F11" s="140">
        <f t="shared" si="0"/>
        <v>0.7099348260869566</v>
      </c>
      <c r="G11" s="141">
        <v>326018.62999999995</v>
      </c>
      <c r="H11" s="141">
        <f t="shared" si="2"/>
        <v>551.3900000000722</v>
      </c>
      <c r="I11" s="54">
        <f t="shared" si="1"/>
        <v>0.0016912837159032054</v>
      </c>
    </row>
    <row r="12" spans="1:9" ht="12.75">
      <c r="A12" s="57">
        <v>32</v>
      </c>
      <c r="B12" s="58" t="s">
        <v>181</v>
      </c>
      <c r="C12" s="59"/>
      <c r="D12" s="60">
        <v>17029249</v>
      </c>
      <c r="E12" s="143">
        <v>11882554.920000002</v>
      </c>
      <c r="F12" s="61">
        <f t="shared" si="0"/>
        <v>0.6977732793736237</v>
      </c>
      <c r="G12" s="144">
        <v>11138217.26</v>
      </c>
      <c r="H12" s="144">
        <f t="shared" si="2"/>
        <v>744337.660000002</v>
      </c>
      <c r="I12" s="62">
        <f t="shared" si="1"/>
        <v>0.06682736048551471</v>
      </c>
    </row>
    <row r="13" spans="1:9" ht="12.75">
      <c r="A13" s="57" t="s">
        <v>182</v>
      </c>
      <c r="B13" s="58" t="s">
        <v>183</v>
      </c>
      <c r="C13" s="59"/>
      <c r="D13" s="60">
        <f>D14+D15+D16</f>
        <v>36833625.46</v>
      </c>
      <c r="E13" s="145">
        <f>E14+E15+E16</f>
        <v>30301881.09</v>
      </c>
      <c r="F13" s="61">
        <f t="shared" si="0"/>
        <v>0.8226689800846989</v>
      </c>
      <c r="G13" s="63">
        <f>SUM(G14:G16)</f>
        <v>27471337.42</v>
      </c>
      <c r="H13" s="63">
        <f t="shared" si="2"/>
        <v>2830543.669999998</v>
      </c>
      <c r="I13" s="146">
        <f t="shared" si="1"/>
        <v>0.103036252903336</v>
      </c>
    </row>
    <row r="14" spans="1:9" ht="12.75">
      <c r="A14" s="50" t="s">
        <v>184</v>
      </c>
      <c r="B14" s="51"/>
      <c r="C14" s="52" t="s">
        <v>185</v>
      </c>
      <c r="D14" s="55">
        <v>4918342</v>
      </c>
      <c r="E14" s="142">
        <v>4918342</v>
      </c>
      <c r="F14" s="140">
        <f t="shared" si="0"/>
        <v>1</v>
      </c>
      <c r="G14" s="141">
        <v>5004825</v>
      </c>
      <c r="H14" s="141">
        <f t="shared" si="2"/>
        <v>-86483</v>
      </c>
      <c r="I14" s="54">
        <f t="shared" si="1"/>
        <v>-0.017279924872498038</v>
      </c>
    </row>
    <row r="15" spans="1:9" ht="12.75">
      <c r="A15" s="50" t="s">
        <v>186</v>
      </c>
      <c r="B15" s="51"/>
      <c r="C15" s="56" t="s">
        <v>187</v>
      </c>
      <c r="D15" s="55">
        <v>21195287</v>
      </c>
      <c r="E15" s="142">
        <v>17226972</v>
      </c>
      <c r="F15" s="140">
        <f t="shared" si="0"/>
        <v>0.8127737076643501</v>
      </c>
      <c r="G15" s="141">
        <v>15149286</v>
      </c>
      <c r="H15" s="141">
        <f t="shared" si="2"/>
        <v>2077686</v>
      </c>
      <c r="I15" s="54">
        <f t="shared" si="1"/>
        <v>0.1371474536819755</v>
      </c>
    </row>
    <row r="16" spans="1:9" ht="12.75">
      <c r="A16" s="50" t="s">
        <v>188</v>
      </c>
      <c r="B16" s="51"/>
      <c r="C16" s="56" t="s">
        <v>189</v>
      </c>
      <c r="D16" s="55">
        <v>10719996.46</v>
      </c>
      <c r="E16" s="142">
        <v>8156567.09</v>
      </c>
      <c r="F16" s="140">
        <f t="shared" si="0"/>
        <v>0.7608740469677355</v>
      </c>
      <c r="G16" s="141">
        <v>7317226.42</v>
      </c>
      <c r="H16" s="141">
        <f t="shared" si="2"/>
        <v>839340.6699999999</v>
      </c>
      <c r="I16" s="54">
        <f t="shared" si="1"/>
        <v>0.11470748912536725</v>
      </c>
    </row>
    <row r="17" spans="1:9" ht="12.75">
      <c r="A17" s="57" t="s">
        <v>190</v>
      </c>
      <c r="B17" s="58" t="s">
        <v>191</v>
      </c>
      <c r="C17" s="59"/>
      <c r="D17" s="60">
        <f>SUM(D18:D22)</f>
        <v>533927</v>
      </c>
      <c r="E17" s="143">
        <f>SUM(E18:E22)</f>
        <v>429720.08999999997</v>
      </c>
      <c r="F17" s="61">
        <f t="shared" si="0"/>
        <v>0.8048292931430701</v>
      </c>
      <c r="G17" s="63">
        <v>475338.23</v>
      </c>
      <c r="H17" s="63">
        <f t="shared" si="2"/>
        <v>-45618.140000000014</v>
      </c>
      <c r="I17" s="146">
        <f t="shared" si="1"/>
        <v>-0.09596985287718182</v>
      </c>
    </row>
    <row r="18" spans="1:9" ht="12.75">
      <c r="A18" s="64">
        <v>3818</v>
      </c>
      <c r="B18" s="65"/>
      <c r="C18" s="66" t="s">
        <v>192</v>
      </c>
      <c r="D18" s="67">
        <v>12000</v>
      </c>
      <c r="E18" s="147">
        <v>3105.3399999999997</v>
      </c>
      <c r="F18" s="140">
        <f t="shared" si="0"/>
        <v>0.25877833333333333</v>
      </c>
      <c r="G18" s="149"/>
      <c r="H18" s="141">
        <f t="shared" si="2"/>
        <v>3105.3399999999997</v>
      </c>
      <c r="I18" s="68" t="s">
        <v>193</v>
      </c>
    </row>
    <row r="19" spans="1:9" ht="12.75">
      <c r="A19" s="50" t="s">
        <v>194</v>
      </c>
      <c r="B19" s="51"/>
      <c r="C19" s="52" t="s">
        <v>195</v>
      </c>
      <c r="D19" s="67">
        <v>0</v>
      </c>
      <c r="E19" s="147">
        <v>0</v>
      </c>
      <c r="F19" s="148" t="s">
        <v>193</v>
      </c>
      <c r="G19" s="141">
        <v>0</v>
      </c>
      <c r="H19" s="141">
        <f t="shared" si="2"/>
        <v>0</v>
      </c>
      <c r="I19" s="68" t="s">
        <v>193</v>
      </c>
    </row>
    <row r="20" spans="1:9" ht="12.75">
      <c r="A20" s="50">
        <v>382540</v>
      </c>
      <c r="B20" s="51"/>
      <c r="C20" s="52" t="s">
        <v>196</v>
      </c>
      <c r="D20" s="67">
        <v>190000</v>
      </c>
      <c r="E20" s="147">
        <v>132393</v>
      </c>
      <c r="F20" s="140">
        <f t="shared" si="0"/>
        <v>0.6968052631578947</v>
      </c>
      <c r="G20" s="141">
        <v>131503</v>
      </c>
      <c r="H20" s="141">
        <f t="shared" si="2"/>
        <v>890</v>
      </c>
      <c r="I20" s="54">
        <f t="shared" si="1"/>
        <v>0.006767906435594625</v>
      </c>
    </row>
    <row r="21" spans="1:9" ht="12.75">
      <c r="A21" s="50">
        <v>3882</v>
      </c>
      <c r="B21" s="51"/>
      <c r="C21" s="52" t="s">
        <v>197</v>
      </c>
      <c r="D21" s="67">
        <v>5000</v>
      </c>
      <c r="E21" s="147">
        <v>2548</v>
      </c>
      <c r="F21" s="140">
        <f t="shared" si="0"/>
        <v>0.5096</v>
      </c>
      <c r="G21" s="141">
        <v>13628</v>
      </c>
      <c r="H21" s="141">
        <f t="shared" si="2"/>
        <v>-11080</v>
      </c>
      <c r="I21" s="54">
        <f t="shared" si="1"/>
        <v>-0.8130319929556795</v>
      </c>
    </row>
    <row r="22" spans="1:9" ht="13.5" thickBot="1">
      <c r="A22" s="50" t="s">
        <v>198</v>
      </c>
      <c r="B22" s="51"/>
      <c r="C22" s="52" t="s">
        <v>199</v>
      </c>
      <c r="D22" s="67">
        <v>326927</v>
      </c>
      <c r="E22" s="147">
        <v>291673.75</v>
      </c>
      <c r="F22" s="150">
        <f t="shared" si="0"/>
        <v>0.8921678233978839</v>
      </c>
      <c r="G22" s="141">
        <v>330207.23</v>
      </c>
      <c r="H22" s="149">
        <f t="shared" si="2"/>
        <v>-38533.47999999998</v>
      </c>
      <c r="I22" s="69">
        <f t="shared" si="1"/>
        <v>-0.11669484038856442</v>
      </c>
    </row>
    <row r="23" spans="1:9" ht="13.5" thickBot="1">
      <c r="A23" s="282"/>
      <c r="B23" s="283" t="s">
        <v>200</v>
      </c>
      <c r="C23" s="284"/>
      <c r="D23" s="70">
        <f>D24+D25</f>
        <v>-111689108.46000001</v>
      </c>
      <c r="E23" s="151">
        <f>E24+E25</f>
        <v>-77954264.97</v>
      </c>
      <c r="F23" s="152">
        <f t="shared" si="0"/>
        <v>0.6979576258137856</v>
      </c>
      <c r="G23" s="71">
        <f>SUM(G24:G25)</f>
        <v>-71075076.11999999</v>
      </c>
      <c r="H23" s="71">
        <f>SUM(H24:H25)</f>
        <v>-8040181.71</v>
      </c>
      <c r="I23" s="153">
        <f t="shared" si="1"/>
        <v>0.1131223791646078</v>
      </c>
    </row>
    <row r="24" spans="1:9" ht="12.75">
      <c r="A24" s="285" t="s">
        <v>201</v>
      </c>
      <c r="B24" s="286" t="s">
        <v>202</v>
      </c>
      <c r="C24" s="287"/>
      <c r="D24" s="72">
        <f>-'[1]kuu aa'!D70</f>
        <v>-15305980</v>
      </c>
      <c r="E24" s="154">
        <f>-'[1]kuu aa'!E70</f>
        <v>-11300474.5</v>
      </c>
      <c r="F24" s="155">
        <f t="shared" si="0"/>
        <v>0.7383045384875715</v>
      </c>
      <c r="G24" s="156">
        <v>-9872323.660000002</v>
      </c>
      <c r="H24" s="156">
        <v>-2589143.7</v>
      </c>
      <c r="I24" s="157">
        <f t="shared" si="1"/>
        <v>0.2622628460299082</v>
      </c>
    </row>
    <row r="25" spans="1:9" ht="12.75">
      <c r="A25" s="57"/>
      <c r="B25" s="58" t="s">
        <v>203</v>
      </c>
      <c r="C25" s="59"/>
      <c r="D25" s="60">
        <f>D26+D28+D29</f>
        <v>-96383128.46000001</v>
      </c>
      <c r="E25" s="145">
        <f>E26+E28+E29</f>
        <v>-66653790.46999999</v>
      </c>
      <c r="F25" s="155">
        <f t="shared" si="0"/>
        <v>0.6915503940885463</v>
      </c>
      <c r="G25" s="63">
        <f>SUM(G28:G29,G26)</f>
        <v>-61202752.45999999</v>
      </c>
      <c r="H25" s="63">
        <f>SUM(H28:H29,H26)</f>
        <v>-5451038.01</v>
      </c>
      <c r="I25" s="157">
        <f t="shared" si="1"/>
        <v>0.08906524283466842</v>
      </c>
    </row>
    <row r="26" spans="1:9" ht="12.75">
      <c r="A26" s="50">
        <v>50</v>
      </c>
      <c r="B26" s="51"/>
      <c r="C26" s="52" t="s">
        <v>204</v>
      </c>
      <c r="D26" s="55">
        <v>-52902944</v>
      </c>
      <c r="E26" s="142">
        <v>-37978563.809999995</v>
      </c>
      <c r="F26" s="140">
        <f t="shared" si="0"/>
        <v>0.7178913107368844</v>
      </c>
      <c r="G26" s="141">
        <v>-34489410.61</v>
      </c>
      <c r="H26" s="141">
        <f t="shared" si="2"/>
        <v>-3489153.1999999955</v>
      </c>
      <c r="I26" s="54">
        <f t="shared" si="1"/>
        <v>0.10116592711469347</v>
      </c>
    </row>
    <row r="27" spans="1:9" ht="12.75">
      <c r="A27" s="73">
        <v>500</v>
      </c>
      <c r="B27" s="74"/>
      <c r="C27" s="75" t="s">
        <v>205</v>
      </c>
      <c r="D27" s="76">
        <v>-39408725</v>
      </c>
      <c r="E27" s="158">
        <v>-28331209.519999996</v>
      </c>
      <c r="F27" s="159">
        <f t="shared" si="0"/>
        <v>0.7189070318818992</v>
      </c>
      <c r="G27" s="160">
        <v>-25572518.7</v>
      </c>
      <c r="H27" s="160">
        <f t="shared" si="2"/>
        <v>-2758690.8199999966</v>
      </c>
      <c r="I27" s="77">
        <f t="shared" si="1"/>
        <v>0.10787716502872267</v>
      </c>
    </row>
    <row r="28" spans="1:9" ht="12.75">
      <c r="A28" s="50">
        <v>55</v>
      </c>
      <c r="B28" s="51"/>
      <c r="C28" s="52" t="s">
        <v>206</v>
      </c>
      <c r="D28" s="55">
        <v>-43138775.46</v>
      </c>
      <c r="E28" s="142">
        <v>-28463102.08</v>
      </c>
      <c r="F28" s="140">
        <f t="shared" si="0"/>
        <v>0.6598031997081634</v>
      </c>
      <c r="G28" s="141">
        <v>-26554402.869999994</v>
      </c>
      <c r="H28" s="141">
        <f t="shared" si="2"/>
        <v>-1908699.2100000046</v>
      </c>
      <c r="I28" s="54">
        <f t="shared" si="1"/>
        <v>0.07187882248168984</v>
      </c>
    </row>
    <row r="29" spans="1:9" ht="13.5" thickBot="1">
      <c r="A29" s="78">
        <v>60</v>
      </c>
      <c r="B29" s="79"/>
      <c r="C29" s="80" t="s">
        <v>207</v>
      </c>
      <c r="D29" s="55">
        <v>-341409</v>
      </c>
      <c r="E29" s="142">
        <v>-212124.58</v>
      </c>
      <c r="F29" s="140">
        <f t="shared" si="0"/>
        <v>0.6213209962244697</v>
      </c>
      <c r="G29" s="141">
        <v>-158938.98</v>
      </c>
      <c r="H29" s="161">
        <f t="shared" si="2"/>
        <v>-53185.59999999998</v>
      </c>
      <c r="I29" s="81">
        <f t="shared" si="1"/>
        <v>0.3346290507212263</v>
      </c>
    </row>
    <row r="30" spans="1:9" ht="13.5" thickBot="1">
      <c r="A30" s="82"/>
      <c r="B30" s="83" t="s">
        <v>208</v>
      </c>
      <c r="C30" s="84"/>
      <c r="D30" s="85">
        <f>D5+D23</f>
        <v>4527693</v>
      </c>
      <c r="E30" s="162">
        <f>E5+E23</f>
        <v>11976138.170000017</v>
      </c>
      <c r="F30" s="163"/>
      <c r="G30" s="164">
        <f>G5+G23</f>
        <v>12360317.000000015</v>
      </c>
      <c r="H30" s="164">
        <f>H5+H23</f>
        <v>-1545171.6899999892</v>
      </c>
      <c r="I30" s="165">
        <f t="shared" si="1"/>
        <v>-0.12501068459651862</v>
      </c>
    </row>
    <row r="31" spans="1:9" ht="13.5" thickBot="1">
      <c r="A31" s="86"/>
      <c r="B31" s="87" t="s">
        <v>209</v>
      </c>
      <c r="C31" s="88"/>
      <c r="D31" s="89">
        <f>SUM(D34:D39)</f>
        <v>-15595526</v>
      </c>
      <c r="E31" s="166">
        <f>SUM(E34:E39)</f>
        <v>-9039451.03</v>
      </c>
      <c r="F31" s="152">
        <f>E31/D31</f>
        <v>0.5796182206358413</v>
      </c>
      <c r="G31" s="90">
        <f>SUM(G32:G33)</f>
        <v>-3568481.179999998</v>
      </c>
      <c r="H31" s="90">
        <f>SUM(H32:H33)</f>
        <v>-5470969.850000003</v>
      </c>
      <c r="I31" s="153">
        <f t="shared" si="1"/>
        <v>1.5331368092012767</v>
      </c>
    </row>
    <row r="32" spans="1:9" ht="12.75">
      <c r="A32" s="73"/>
      <c r="B32" s="91" t="s">
        <v>210</v>
      </c>
      <c r="C32" s="75"/>
      <c r="D32" s="76">
        <f>D34+D36+D38</f>
        <v>13922137</v>
      </c>
      <c r="E32" s="158">
        <f>E34+E36+E38</f>
        <v>9935945.14</v>
      </c>
      <c r="F32" s="159">
        <f>E32/D32</f>
        <v>0.7136795981823768</v>
      </c>
      <c r="G32" s="160">
        <f>SUM(G34,G36,G38)</f>
        <v>13634771.53</v>
      </c>
      <c r="H32" s="160">
        <f t="shared" si="2"/>
        <v>-3698826.3899999987</v>
      </c>
      <c r="I32" s="77">
        <f t="shared" si="1"/>
        <v>-0.2712789416281476</v>
      </c>
    </row>
    <row r="33" spans="1:9" ht="12.75">
      <c r="A33" s="73"/>
      <c r="B33" s="91" t="s">
        <v>211</v>
      </c>
      <c r="C33" s="75"/>
      <c r="D33" s="76">
        <f>D35+D37+D39</f>
        <v>-29517663</v>
      </c>
      <c r="E33" s="158">
        <f>E35+E37+E39</f>
        <v>-18975396.17</v>
      </c>
      <c r="F33" s="159">
        <f>E33/D33</f>
        <v>0.6428488654403298</v>
      </c>
      <c r="G33" s="160">
        <f>SUM(G35,G37,G39)</f>
        <v>-17203252.709999997</v>
      </c>
      <c r="H33" s="160">
        <f t="shared" si="2"/>
        <v>-1772143.4600000046</v>
      </c>
      <c r="I33" s="77">
        <f t="shared" si="1"/>
        <v>0.10301211578260917</v>
      </c>
    </row>
    <row r="34" spans="1:9" ht="12.75">
      <c r="A34" s="50">
        <v>381</v>
      </c>
      <c r="B34" s="51"/>
      <c r="C34" s="52" t="s">
        <v>212</v>
      </c>
      <c r="D34" s="55">
        <v>432700</v>
      </c>
      <c r="E34" s="142">
        <v>517269.67000000004</v>
      </c>
      <c r="F34" s="140">
        <f>E34/D34</f>
        <v>1.1954464293968108</v>
      </c>
      <c r="G34" s="141">
        <v>166218.9</v>
      </c>
      <c r="H34" s="141">
        <f t="shared" si="2"/>
        <v>351050.77</v>
      </c>
      <c r="I34" s="54">
        <f t="shared" si="1"/>
        <v>2.111978661872988</v>
      </c>
    </row>
    <row r="35" spans="1:9" ht="12.75">
      <c r="A35" s="50">
        <v>15</v>
      </c>
      <c r="B35" s="51"/>
      <c r="C35" s="52" t="s">
        <v>213</v>
      </c>
      <c r="D35" s="55">
        <v>-27326896</v>
      </c>
      <c r="E35" s="142">
        <v>-17304562.330000002</v>
      </c>
      <c r="F35" s="140">
        <f>E35/D35</f>
        <v>0.6332428802012494</v>
      </c>
      <c r="G35" s="141">
        <v>-15596287.189999998</v>
      </c>
      <c r="H35" s="141">
        <f t="shared" si="2"/>
        <v>-1708275.1400000043</v>
      </c>
      <c r="I35" s="54">
        <f t="shared" si="1"/>
        <v>0.1095308850875299</v>
      </c>
    </row>
    <row r="36" spans="1:9" ht="12.75">
      <c r="A36" s="50">
        <v>3502</v>
      </c>
      <c r="B36" s="51"/>
      <c r="C36" s="52" t="s">
        <v>214</v>
      </c>
      <c r="D36" s="55">
        <v>13474437</v>
      </c>
      <c r="E36" s="142">
        <v>9410621.83</v>
      </c>
      <c r="F36" s="140">
        <f aca="true" t="shared" si="3" ref="F36:F49">E36/D36</f>
        <v>0.6984055682623326</v>
      </c>
      <c r="G36" s="141">
        <v>13121633.95</v>
      </c>
      <c r="H36" s="141">
        <f t="shared" si="2"/>
        <v>-3711012.119999999</v>
      </c>
      <c r="I36" s="54">
        <f t="shared" si="1"/>
        <v>-0.28281631191213036</v>
      </c>
    </row>
    <row r="37" spans="1:9" ht="12.75">
      <c r="A37" s="50">
        <v>4502</v>
      </c>
      <c r="B37" s="51"/>
      <c r="C37" s="52" t="s">
        <v>215</v>
      </c>
      <c r="D37" s="55">
        <v>-1230317</v>
      </c>
      <c r="E37" s="142">
        <v>-1126150.01</v>
      </c>
      <c r="F37" s="140">
        <f t="shared" si="3"/>
        <v>0.9153332108716696</v>
      </c>
      <c r="G37" s="141">
        <v>-821819.25</v>
      </c>
      <c r="H37" s="141">
        <f t="shared" si="2"/>
        <v>-304330.76</v>
      </c>
      <c r="I37" s="54">
        <f t="shared" si="1"/>
        <v>0.37031349655048845</v>
      </c>
    </row>
    <row r="38" spans="1:9" ht="12.75">
      <c r="A38" s="92">
        <v>382</v>
      </c>
      <c r="B38" s="93"/>
      <c r="C38" s="52" t="s">
        <v>216</v>
      </c>
      <c r="D38" s="55">
        <v>15000</v>
      </c>
      <c r="E38" s="142">
        <v>8053.639999999999</v>
      </c>
      <c r="F38" s="140">
        <f t="shared" si="3"/>
        <v>0.5369093333333333</v>
      </c>
      <c r="G38" s="141">
        <v>346918.68</v>
      </c>
      <c r="H38" s="141">
        <f t="shared" si="2"/>
        <v>-338865.04</v>
      </c>
      <c r="I38" s="54">
        <f t="shared" si="1"/>
        <v>-0.9767852224042821</v>
      </c>
    </row>
    <row r="39" spans="1:9" ht="13.5" thickBot="1">
      <c r="A39" s="78">
        <v>65</v>
      </c>
      <c r="B39" s="79"/>
      <c r="C39" s="80" t="s">
        <v>217</v>
      </c>
      <c r="D39" s="55">
        <v>-960450</v>
      </c>
      <c r="E39" s="142">
        <v>-544683.83</v>
      </c>
      <c r="F39" s="140">
        <f t="shared" si="3"/>
        <v>0.5671131552917903</v>
      </c>
      <c r="G39" s="141">
        <v>-785146.2699999999</v>
      </c>
      <c r="H39" s="161">
        <f t="shared" si="2"/>
        <v>240462.43999999994</v>
      </c>
      <c r="I39" s="81">
        <f t="shared" si="1"/>
        <v>-0.3062645129804921</v>
      </c>
    </row>
    <row r="40" spans="1:9" ht="13.5" thickBot="1">
      <c r="A40" s="94"/>
      <c r="B40" s="95" t="s">
        <v>218</v>
      </c>
      <c r="C40" s="96"/>
      <c r="D40" s="85">
        <f>D30+D31</f>
        <v>-11067833</v>
      </c>
      <c r="E40" s="167">
        <f>E30+E31</f>
        <v>2936687.1400000174</v>
      </c>
      <c r="F40" s="163">
        <f t="shared" si="3"/>
        <v>-0.26533533167694323</v>
      </c>
      <c r="G40" s="97">
        <f>G30+G31</f>
        <v>8791835.820000017</v>
      </c>
      <c r="H40" s="97">
        <f>H30+H31</f>
        <v>-7016141.539999993</v>
      </c>
      <c r="I40" s="165">
        <f t="shared" si="1"/>
        <v>-0.7980291811227179</v>
      </c>
    </row>
    <row r="41" spans="1:9" ht="13.5" thickBot="1">
      <c r="A41" s="98"/>
      <c r="B41" s="87" t="s">
        <v>219</v>
      </c>
      <c r="C41" s="88"/>
      <c r="D41" s="89">
        <f>D42+D46</f>
        <v>2943609</v>
      </c>
      <c r="E41" s="168">
        <f>E42+E46</f>
        <v>4376510.34</v>
      </c>
      <c r="F41" s="152">
        <f t="shared" si="3"/>
        <v>1.4867838561439375</v>
      </c>
      <c r="G41" s="90">
        <v>-7402759.04</v>
      </c>
      <c r="H41" s="90">
        <v>-43934.57</v>
      </c>
      <c r="I41" s="153">
        <f t="shared" si="1"/>
        <v>0.005934891269944672</v>
      </c>
    </row>
    <row r="42" spans="1:9" ht="12.75">
      <c r="A42" s="99" t="s">
        <v>220</v>
      </c>
      <c r="B42" s="100"/>
      <c r="C42" s="288" t="s">
        <v>221</v>
      </c>
      <c r="D42" s="169">
        <f>SUM(D43:D45)</f>
        <v>10885000</v>
      </c>
      <c r="E42" s="170">
        <f>SUM(E43:E45)</f>
        <v>10885000</v>
      </c>
      <c r="F42" s="140">
        <f t="shared" si="3"/>
        <v>1</v>
      </c>
      <c r="G42" s="171">
        <v>0</v>
      </c>
      <c r="H42" s="141">
        <f t="shared" si="2"/>
        <v>10885000</v>
      </c>
      <c r="I42" s="68" t="s">
        <v>193</v>
      </c>
    </row>
    <row r="43" spans="1:9" ht="12.75">
      <c r="A43" s="101" t="s">
        <v>222</v>
      </c>
      <c r="B43" s="102"/>
      <c r="C43" s="103" t="s">
        <v>223</v>
      </c>
      <c r="D43" s="76">
        <v>10885000</v>
      </c>
      <c r="E43" s="158">
        <v>10885000</v>
      </c>
      <c r="F43" s="172">
        <f>E43/D43</f>
        <v>1</v>
      </c>
      <c r="G43" s="160">
        <v>0</v>
      </c>
      <c r="H43" s="160">
        <f t="shared" si="2"/>
        <v>10885000</v>
      </c>
      <c r="I43" s="104" t="s">
        <v>193</v>
      </c>
    </row>
    <row r="44" spans="1:9" ht="12.75">
      <c r="A44" s="101" t="s">
        <v>224</v>
      </c>
      <c r="B44" s="102"/>
      <c r="C44" s="103" t="s">
        <v>225</v>
      </c>
      <c r="D44" s="76">
        <v>0</v>
      </c>
      <c r="E44" s="158">
        <v>0</v>
      </c>
      <c r="F44" s="172" t="s">
        <v>193</v>
      </c>
      <c r="G44" s="160">
        <v>0</v>
      </c>
      <c r="H44" s="160">
        <f t="shared" si="2"/>
        <v>0</v>
      </c>
      <c r="I44" s="104" t="s">
        <v>193</v>
      </c>
    </row>
    <row r="45" spans="1:9" ht="12.75">
      <c r="A45" s="101" t="s">
        <v>226</v>
      </c>
      <c r="B45" s="102"/>
      <c r="C45" s="103" t="s">
        <v>227</v>
      </c>
      <c r="D45" s="76">
        <v>0</v>
      </c>
      <c r="E45" s="158">
        <v>0</v>
      </c>
      <c r="F45" s="172" t="s">
        <v>193</v>
      </c>
      <c r="G45" s="160">
        <v>0</v>
      </c>
      <c r="H45" s="160">
        <f t="shared" si="2"/>
        <v>0</v>
      </c>
      <c r="I45" s="104" t="s">
        <v>193</v>
      </c>
    </row>
    <row r="46" spans="1:9" ht="12.75">
      <c r="A46" s="105" t="s">
        <v>228</v>
      </c>
      <c r="B46" s="106"/>
      <c r="C46" s="288" t="s">
        <v>229</v>
      </c>
      <c r="D46" s="169">
        <f>SUM(D47:D49)</f>
        <v>-7941391</v>
      </c>
      <c r="E46" s="170">
        <f>SUM(E47:E49)</f>
        <v>-6508489.66</v>
      </c>
      <c r="F46" s="140">
        <f t="shared" si="3"/>
        <v>0.8195654464060516</v>
      </c>
      <c r="G46" s="171">
        <v>-7402759.04</v>
      </c>
      <c r="H46" s="141">
        <f t="shared" si="2"/>
        <v>894269.3799999999</v>
      </c>
      <c r="I46" s="54">
        <f t="shared" si="1"/>
        <v>-0.12080217323945207</v>
      </c>
    </row>
    <row r="47" spans="1:9" ht="12.75">
      <c r="A47" s="101" t="s">
        <v>230</v>
      </c>
      <c r="B47" s="102"/>
      <c r="C47" s="103" t="s">
        <v>223</v>
      </c>
      <c r="D47" s="76">
        <v>-7612793</v>
      </c>
      <c r="E47" s="158">
        <v>-6262441.93</v>
      </c>
      <c r="F47" s="172">
        <f>E47/D47</f>
        <v>0.822620808158057</v>
      </c>
      <c r="G47" s="160">
        <v>-7201099.93</v>
      </c>
      <c r="H47" s="160">
        <f t="shared" si="2"/>
        <v>938658</v>
      </c>
      <c r="I47" s="104">
        <f>H47/G47</f>
        <v>-0.13034925346467174</v>
      </c>
    </row>
    <row r="48" spans="1:9" ht="12.75">
      <c r="A48" s="101" t="s">
        <v>231</v>
      </c>
      <c r="B48" s="102"/>
      <c r="C48" s="103" t="s">
        <v>225</v>
      </c>
      <c r="D48" s="76">
        <v>0</v>
      </c>
      <c r="E48" s="158">
        <v>0</v>
      </c>
      <c r="F48" s="172" t="s">
        <v>193</v>
      </c>
      <c r="G48" s="160">
        <v>0</v>
      </c>
      <c r="H48" s="160">
        <f t="shared" si="2"/>
        <v>0</v>
      </c>
      <c r="I48" s="104" t="s">
        <v>193</v>
      </c>
    </row>
    <row r="49" spans="1:9" ht="13.5" thickBot="1">
      <c r="A49" s="101" t="s">
        <v>232</v>
      </c>
      <c r="B49" s="107"/>
      <c r="C49" s="103" t="s">
        <v>227</v>
      </c>
      <c r="D49" s="76">
        <v>-328598</v>
      </c>
      <c r="E49" s="158">
        <v>-246047.72999999998</v>
      </c>
      <c r="F49" s="159">
        <f t="shared" si="3"/>
        <v>0.7487803638488365</v>
      </c>
      <c r="G49" s="160">
        <v>-201659.11</v>
      </c>
      <c r="H49" s="160">
        <f t="shared" si="2"/>
        <v>-44388.619999999995</v>
      </c>
      <c r="I49" s="77">
        <f t="shared" si="1"/>
        <v>0.22011710752864078</v>
      </c>
    </row>
    <row r="50" spans="1:9" ht="13.5" thickBot="1">
      <c r="A50" s="86">
        <v>1001</v>
      </c>
      <c r="B50" s="108" t="s">
        <v>233</v>
      </c>
      <c r="C50" s="109"/>
      <c r="D50" s="110">
        <f>D5+D23+D31+D41</f>
        <v>-8124224</v>
      </c>
      <c r="E50" s="173">
        <f>E5+E23+E31+E41</f>
        <v>7313197.480000017</v>
      </c>
      <c r="F50" s="152"/>
      <c r="G50" s="174">
        <v>1389076.7800000052</v>
      </c>
      <c r="H50" s="90">
        <f>E50-G50</f>
        <v>5924120.700000012</v>
      </c>
      <c r="I50" s="153"/>
    </row>
    <row r="51" spans="1:9" ht="13.5" thickBot="1">
      <c r="A51" s="111"/>
      <c r="B51" s="112"/>
      <c r="C51" s="113"/>
      <c r="D51" s="114"/>
      <c r="E51" s="175"/>
      <c r="F51" s="176"/>
      <c r="G51" s="177"/>
      <c r="H51" s="178"/>
      <c r="I51" s="179"/>
    </row>
    <row r="52" spans="1:9" ht="12.75">
      <c r="A52" s="115"/>
      <c r="B52" s="304" t="s">
        <v>234</v>
      </c>
      <c r="C52" s="305"/>
      <c r="D52" s="116">
        <f>SUM(D53:D61)</f>
        <v>111791802.46000001</v>
      </c>
      <c r="E52" s="180">
        <f>SUM(E53:E61)</f>
        <v>78286413.95999998</v>
      </c>
      <c r="F52" s="181">
        <f>E52/D52</f>
        <v>0.7002876081903364</v>
      </c>
      <c r="G52" s="182">
        <v>70950217.30999999</v>
      </c>
      <c r="H52" s="182">
        <f>SUM(H53:H61)</f>
        <v>7336196.650000005</v>
      </c>
      <c r="I52" s="183">
        <f t="shared" si="1"/>
        <v>0.10339921325323431</v>
      </c>
    </row>
    <row r="53" spans="1:9" ht="12.75">
      <c r="A53" s="117" t="s">
        <v>235</v>
      </c>
      <c r="B53" s="118" t="s">
        <v>10</v>
      </c>
      <c r="C53" s="119"/>
      <c r="D53" s="120">
        <v>8175407</v>
      </c>
      <c r="E53" s="184">
        <v>5434098.819999999</v>
      </c>
      <c r="F53" s="289">
        <f aca="true" t="shared" si="4" ref="F53:F60">E53/D53</f>
        <v>0.6646884760599685</v>
      </c>
      <c r="G53" s="184">
        <v>5002872.399999999</v>
      </c>
      <c r="H53" s="184">
        <f t="shared" si="2"/>
        <v>431226.4199999999</v>
      </c>
      <c r="I53" s="121">
        <f t="shared" si="1"/>
        <v>0.08619576625620114</v>
      </c>
    </row>
    <row r="54" spans="1:9" ht="12.75">
      <c r="A54" s="122" t="s">
        <v>236</v>
      </c>
      <c r="B54" s="123" t="s">
        <v>237</v>
      </c>
      <c r="C54" s="124"/>
      <c r="D54" s="120">
        <v>396879</v>
      </c>
      <c r="E54" s="184">
        <v>263842.99</v>
      </c>
      <c r="F54" s="289">
        <f t="shared" si="4"/>
        <v>0.6647945343542994</v>
      </c>
      <c r="G54" s="184">
        <v>195332.73</v>
      </c>
      <c r="H54" s="184">
        <f t="shared" si="2"/>
        <v>68510.25999999998</v>
      </c>
      <c r="I54" s="121">
        <f t="shared" si="1"/>
        <v>0.3507362027858822</v>
      </c>
    </row>
    <row r="55" spans="1:9" ht="12.75">
      <c r="A55" s="122" t="s">
        <v>238</v>
      </c>
      <c r="B55" s="123" t="s">
        <v>25</v>
      </c>
      <c r="C55" s="124"/>
      <c r="D55" s="120">
        <v>12513502</v>
      </c>
      <c r="E55" s="184">
        <v>8898946.920000002</v>
      </c>
      <c r="F55" s="289">
        <f t="shared" si="4"/>
        <v>0.7111476004079434</v>
      </c>
      <c r="G55" s="184">
        <v>8451740.390000002</v>
      </c>
      <c r="H55" s="184">
        <f t="shared" si="2"/>
        <v>447206.52999999933</v>
      </c>
      <c r="I55" s="121">
        <f t="shared" si="1"/>
        <v>0.0529129515773022</v>
      </c>
    </row>
    <row r="56" spans="1:9" ht="12.75">
      <c r="A56" s="122" t="s">
        <v>239</v>
      </c>
      <c r="B56" s="123" t="s">
        <v>70</v>
      </c>
      <c r="C56" s="124"/>
      <c r="D56" s="120">
        <v>4831975</v>
      </c>
      <c r="E56" s="184">
        <v>3602013.1200000006</v>
      </c>
      <c r="F56" s="289">
        <f t="shared" si="4"/>
        <v>0.74545359195774</v>
      </c>
      <c r="G56" s="184">
        <v>3056430.6600000006</v>
      </c>
      <c r="H56" s="184">
        <f t="shared" si="2"/>
        <v>545582.46</v>
      </c>
      <c r="I56" s="121">
        <f t="shared" si="1"/>
        <v>0.17850313672746623</v>
      </c>
    </row>
    <row r="57" spans="1:9" ht="12.75">
      <c r="A57" s="122" t="s">
        <v>240</v>
      </c>
      <c r="B57" s="123" t="s">
        <v>241</v>
      </c>
      <c r="C57" s="124"/>
      <c r="D57" s="120">
        <v>2204816.46</v>
      </c>
      <c r="E57" s="184">
        <v>1495934.31</v>
      </c>
      <c r="F57" s="289">
        <f t="shared" si="4"/>
        <v>0.6784847342803311</v>
      </c>
      <c r="G57" s="184">
        <v>1550350.8499999999</v>
      </c>
      <c r="H57" s="184">
        <f t="shared" si="2"/>
        <v>-54416.539999999804</v>
      </c>
      <c r="I57" s="121">
        <f t="shared" si="1"/>
        <v>-0.03509950021957921</v>
      </c>
    </row>
    <row r="58" spans="1:9" ht="12.75">
      <c r="A58" s="122" t="s">
        <v>242</v>
      </c>
      <c r="B58" s="123" t="s">
        <v>243</v>
      </c>
      <c r="C58" s="124"/>
      <c r="D58" s="120">
        <v>432406</v>
      </c>
      <c r="E58" s="184">
        <v>252851.82</v>
      </c>
      <c r="F58" s="289">
        <f t="shared" si="4"/>
        <v>0.5847555769346402</v>
      </c>
      <c r="G58" s="184">
        <v>283888.23</v>
      </c>
      <c r="H58" s="184">
        <f t="shared" si="2"/>
        <v>-31036.409999999974</v>
      </c>
      <c r="I58" s="121">
        <f t="shared" si="1"/>
        <v>-0.10932615980592073</v>
      </c>
    </row>
    <row r="59" spans="1:9" ht="12.75">
      <c r="A59" s="122" t="s">
        <v>244</v>
      </c>
      <c r="B59" s="123" t="s">
        <v>245</v>
      </c>
      <c r="C59" s="124"/>
      <c r="D59" s="120">
        <v>9651419</v>
      </c>
      <c r="E59" s="184">
        <v>7535664.319999998</v>
      </c>
      <c r="F59" s="289">
        <f t="shared" si="4"/>
        <v>0.7807830454775612</v>
      </c>
      <c r="G59" s="184">
        <v>6996159.420000001</v>
      </c>
      <c r="H59" s="184">
        <f t="shared" si="2"/>
        <v>539504.8999999976</v>
      </c>
      <c r="I59" s="121">
        <f t="shared" si="1"/>
        <v>0.07711443773818372</v>
      </c>
    </row>
    <row r="60" spans="1:9" ht="12.75">
      <c r="A60" s="122" t="s">
        <v>246</v>
      </c>
      <c r="B60" s="123" t="s">
        <v>120</v>
      </c>
      <c r="C60" s="124"/>
      <c r="D60" s="120">
        <v>63463029</v>
      </c>
      <c r="E60" s="184">
        <v>44339246.83999999</v>
      </c>
      <c r="F60" s="289">
        <f t="shared" si="4"/>
        <v>0.6986626314353824</v>
      </c>
      <c r="G60" s="184">
        <v>39244557.58999998</v>
      </c>
      <c r="H60" s="184">
        <f t="shared" si="2"/>
        <v>5094689.250000007</v>
      </c>
      <c r="I60" s="121">
        <f t="shared" si="1"/>
        <v>0.12981900071917743</v>
      </c>
    </row>
    <row r="61" spans="1:9" ht="12.75">
      <c r="A61" s="122" t="s">
        <v>247</v>
      </c>
      <c r="B61" s="123" t="s">
        <v>146</v>
      </c>
      <c r="C61" s="124"/>
      <c r="D61" s="120">
        <v>10122369</v>
      </c>
      <c r="E61" s="184">
        <v>6463814.82</v>
      </c>
      <c r="F61" s="289">
        <f>E61/D61</f>
        <v>0.6385673966242488</v>
      </c>
      <c r="G61" s="184">
        <v>6168885.04</v>
      </c>
      <c r="H61" s="184">
        <f t="shared" si="2"/>
        <v>294929.78000000026</v>
      </c>
      <c r="I61" s="121">
        <f t="shared" si="1"/>
        <v>0.04780925209136338</v>
      </c>
    </row>
    <row r="62" spans="1:9" ht="12.75">
      <c r="A62" s="125"/>
      <c r="B62" s="292" t="s">
        <v>248</v>
      </c>
      <c r="C62" s="293"/>
      <c r="D62" s="116">
        <f>SUM(D63:D71)</f>
        <v>29414969</v>
      </c>
      <c r="E62" s="185">
        <f>SUM(E63:E71)</f>
        <v>18643247.18</v>
      </c>
      <c r="F62" s="290">
        <f>E62/D62</f>
        <v>0.6338013539976873</v>
      </c>
      <c r="G62" s="185">
        <v>17328111.52</v>
      </c>
      <c r="H62" s="185">
        <f>SUM(H63:H71)</f>
        <v>1315135.66</v>
      </c>
      <c r="I62" s="126">
        <f t="shared" si="1"/>
        <v>0.07589607548878471</v>
      </c>
    </row>
    <row r="63" spans="1:9" ht="12.75">
      <c r="A63" s="122" t="s">
        <v>235</v>
      </c>
      <c r="B63" s="123" t="s">
        <v>10</v>
      </c>
      <c r="C63" s="127"/>
      <c r="D63" s="120">
        <v>1135450</v>
      </c>
      <c r="E63" s="184">
        <v>601153.95</v>
      </c>
      <c r="F63" s="289">
        <f aca="true" t="shared" si="5" ref="F63:F71">E63/D63</f>
        <v>0.5294411466819322</v>
      </c>
      <c r="G63" s="184">
        <v>796568.29</v>
      </c>
      <c r="H63" s="184">
        <f t="shared" si="2"/>
        <v>-195414.34000000008</v>
      </c>
      <c r="I63" s="121">
        <f t="shared" si="1"/>
        <v>-0.245320259986749</v>
      </c>
    </row>
    <row r="64" spans="1:9" ht="12.75">
      <c r="A64" s="122" t="s">
        <v>236</v>
      </c>
      <c r="B64" s="123" t="s">
        <v>237</v>
      </c>
      <c r="C64" s="124"/>
      <c r="D64" s="120">
        <v>5500</v>
      </c>
      <c r="E64" s="184">
        <v>5500</v>
      </c>
      <c r="F64" s="289">
        <f t="shared" si="5"/>
        <v>1</v>
      </c>
      <c r="G64" s="184"/>
      <c r="H64" s="184">
        <f t="shared" si="2"/>
        <v>5500</v>
      </c>
      <c r="I64" s="128" t="s">
        <v>193</v>
      </c>
    </row>
    <row r="65" spans="1:9" ht="12.75">
      <c r="A65" s="122" t="s">
        <v>238</v>
      </c>
      <c r="B65" s="123" t="s">
        <v>25</v>
      </c>
      <c r="C65" s="124"/>
      <c r="D65" s="120">
        <v>12756668</v>
      </c>
      <c r="E65" s="184">
        <v>7367055.859999999</v>
      </c>
      <c r="F65" s="289">
        <f t="shared" si="5"/>
        <v>0.5775062782852074</v>
      </c>
      <c r="G65" s="184">
        <v>13236219.179999998</v>
      </c>
      <c r="H65" s="184">
        <f t="shared" si="2"/>
        <v>-5869163.319999998</v>
      </c>
      <c r="I65" s="121">
        <f t="shared" si="1"/>
        <v>-0.4434169032852174</v>
      </c>
    </row>
    <row r="66" spans="1:9" ht="12.75">
      <c r="A66" s="122" t="s">
        <v>239</v>
      </c>
      <c r="B66" s="123" t="s">
        <v>70</v>
      </c>
      <c r="C66" s="124"/>
      <c r="D66" s="120">
        <v>509383</v>
      </c>
      <c r="E66" s="184">
        <v>231597.32</v>
      </c>
      <c r="F66" s="289">
        <f t="shared" si="5"/>
        <v>0.4546624445652878</v>
      </c>
      <c r="G66" s="184">
        <v>302523.4</v>
      </c>
      <c r="H66" s="184">
        <f t="shared" si="2"/>
        <v>-70926.08000000002</v>
      </c>
      <c r="I66" s="121">
        <f t="shared" si="1"/>
        <v>-0.23444824433415734</v>
      </c>
    </row>
    <row r="67" spans="1:9" ht="12.75">
      <c r="A67" s="122" t="s">
        <v>240</v>
      </c>
      <c r="B67" s="123" t="s">
        <v>241</v>
      </c>
      <c r="C67" s="124"/>
      <c r="D67" s="120">
        <v>569757</v>
      </c>
      <c r="E67" s="184">
        <v>149573.36</v>
      </c>
      <c r="F67" s="289">
        <f t="shared" si="5"/>
        <v>0.26252132049277144</v>
      </c>
      <c r="G67" s="184">
        <v>119598.93000000001</v>
      </c>
      <c r="H67" s="184">
        <f t="shared" si="2"/>
        <v>29974.42999999998</v>
      </c>
      <c r="I67" s="121">
        <f t="shared" si="1"/>
        <v>0.2506245666244671</v>
      </c>
    </row>
    <row r="68" spans="1:9" ht="12.75">
      <c r="A68" s="122" t="s">
        <v>242</v>
      </c>
      <c r="B68" s="123" t="s">
        <v>243</v>
      </c>
      <c r="C68" s="124"/>
      <c r="D68" s="120">
        <v>0</v>
      </c>
      <c r="E68" s="184">
        <v>0</v>
      </c>
      <c r="F68" s="291" t="s">
        <v>193</v>
      </c>
      <c r="G68" s="184"/>
      <c r="H68" s="184">
        <f t="shared" si="2"/>
        <v>0</v>
      </c>
      <c r="I68" s="128" t="s">
        <v>193</v>
      </c>
    </row>
    <row r="69" spans="1:9" ht="12.75">
      <c r="A69" s="122" t="s">
        <v>244</v>
      </c>
      <c r="B69" s="123" t="s">
        <v>245</v>
      </c>
      <c r="C69" s="124"/>
      <c r="D69" s="120">
        <v>1079999</v>
      </c>
      <c r="E69" s="184">
        <v>938797.9</v>
      </c>
      <c r="F69" s="289">
        <f t="shared" si="5"/>
        <v>0.8692581196834441</v>
      </c>
      <c r="G69" s="184">
        <v>497433.64</v>
      </c>
      <c r="H69" s="184">
        <f t="shared" si="2"/>
        <v>441364.26</v>
      </c>
      <c r="I69" s="121">
        <f t="shared" si="1"/>
        <v>0.8872826936272343</v>
      </c>
    </row>
    <row r="70" spans="1:9" ht="12.75">
      <c r="A70" s="122" t="s">
        <v>246</v>
      </c>
      <c r="B70" s="123" t="s">
        <v>120</v>
      </c>
      <c r="C70" s="124"/>
      <c r="D70" s="120">
        <v>12818012</v>
      </c>
      <c r="E70" s="184">
        <v>8836550.77</v>
      </c>
      <c r="F70" s="289">
        <f t="shared" si="5"/>
        <v>0.6893854343403641</v>
      </c>
      <c r="G70" s="184">
        <v>2189788.8800000004</v>
      </c>
      <c r="H70" s="184">
        <f t="shared" si="2"/>
        <v>6646761.889999999</v>
      </c>
      <c r="I70" s="121">
        <f>H70/G70</f>
        <v>3.0353437040012725</v>
      </c>
    </row>
    <row r="71" spans="1:9" ht="13.5" thickBot="1">
      <c r="A71" s="129" t="s">
        <v>247</v>
      </c>
      <c r="B71" s="130" t="s">
        <v>146</v>
      </c>
      <c r="C71" s="131"/>
      <c r="D71" s="120">
        <v>540200</v>
      </c>
      <c r="E71" s="184">
        <v>513018.02</v>
      </c>
      <c r="F71" s="289">
        <f t="shared" si="5"/>
        <v>0.9496816364309515</v>
      </c>
      <c r="G71" s="184">
        <v>185979.2</v>
      </c>
      <c r="H71" s="184">
        <f>E71-G71</f>
        <v>327038.82</v>
      </c>
      <c r="I71" s="121">
        <f>H71/G71</f>
        <v>1.7584698718996532</v>
      </c>
    </row>
  </sheetData>
  <sheetProtection/>
  <mergeCells count="7">
    <mergeCell ref="B62:C62"/>
    <mergeCell ref="A2:F2"/>
    <mergeCell ref="D3:D4"/>
    <mergeCell ref="E3:E4"/>
    <mergeCell ref="F3:F4"/>
    <mergeCell ref="H3:I3"/>
    <mergeCell ref="B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2"/>
  <sheetViews>
    <sheetView workbookViewId="0" topLeftCell="A1">
      <selection activeCell="O18" sqref="O18"/>
    </sheetView>
  </sheetViews>
  <sheetFormatPr defaultColWidth="9.140625" defaultRowHeight="15"/>
  <cols>
    <col min="1" max="1" width="5.57421875" style="17" customWidth="1"/>
    <col min="2" max="2" width="45.57421875" style="28" customWidth="1"/>
    <col min="3" max="3" width="4.57421875" style="0" customWidth="1"/>
    <col min="4" max="4" width="13.00390625" style="0" hidden="1" customWidth="1"/>
    <col min="5" max="5" width="11.8515625" style="0" bestFit="1" customWidth="1"/>
    <col min="6" max="6" width="12.00390625" style="0" customWidth="1"/>
    <col min="7" max="7" width="12.8515625" style="0" hidden="1" customWidth="1"/>
    <col min="8" max="8" width="8.8515625" style="0" customWidth="1"/>
  </cols>
  <sheetData>
    <row r="1" spans="1:8" ht="15">
      <c r="A1" s="18"/>
      <c r="B1" s="19" t="s">
        <v>0</v>
      </c>
      <c r="C1" s="19"/>
      <c r="D1" s="19"/>
      <c r="E1" s="19"/>
      <c r="F1" s="19"/>
      <c r="G1" s="264"/>
      <c r="H1" s="6"/>
    </row>
    <row r="2" spans="1:8" ht="15">
      <c r="A2" s="18"/>
      <c r="B2" s="21"/>
      <c r="C2" s="7"/>
      <c r="D2" s="7"/>
      <c r="E2" s="8"/>
      <c r="G2" s="6"/>
      <c r="H2" s="186">
        <v>42277</v>
      </c>
    </row>
    <row r="3" spans="1:8" ht="15" customHeight="1">
      <c r="A3" s="18"/>
      <c r="B3" s="306"/>
      <c r="C3" s="9"/>
      <c r="D3" s="308" t="s">
        <v>160</v>
      </c>
      <c r="E3" s="308"/>
      <c r="F3" s="309" t="s">
        <v>157</v>
      </c>
      <c r="G3" s="265"/>
      <c r="H3" s="311" t="s">
        <v>161</v>
      </c>
    </row>
    <row r="4" spans="1:8" ht="15">
      <c r="A4" s="18"/>
      <c r="B4" s="307"/>
      <c r="C4" s="1"/>
      <c r="D4" s="20" t="s">
        <v>158</v>
      </c>
      <c r="E4" s="2" t="s">
        <v>159</v>
      </c>
      <c r="F4" s="310"/>
      <c r="G4" s="266" t="s">
        <v>324</v>
      </c>
      <c r="H4" s="312"/>
    </row>
    <row r="5" spans="1:8" ht="15">
      <c r="A5" s="18"/>
      <c r="B5" s="23" t="s">
        <v>1</v>
      </c>
      <c r="C5" s="10"/>
      <c r="D5" s="29">
        <f>SUM(D6,D8,D9)</f>
        <v>25254988</v>
      </c>
      <c r="E5" s="29">
        <f>SUM(E6,E8,E9)</f>
        <v>29452369</v>
      </c>
      <c r="F5" s="29">
        <f>SUM(F6,F8,F9)</f>
        <v>18643247.18</v>
      </c>
      <c r="G5" s="29">
        <f>SUM(G6,G8,G9)</f>
        <v>3668352.3700000006</v>
      </c>
      <c r="H5" s="30">
        <f>ROUND(F5/E5*100,1)</f>
        <v>63.3</v>
      </c>
    </row>
    <row r="6" spans="1:8" ht="15">
      <c r="A6" s="18"/>
      <c r="B6" s="22" t="s">
        <v>2</v>
      </c>
      <c r="C6" s="11" t="s">
        <v>3</v>
      </c>
      <c r="D6" s="31">
        <f>SUMIF($C15:$C271,$C6,D15:D271)+5000</f>
        <v>23266485</v>
      </c>
      <c r="E6" s="31">
        <f>SUMIF($C15:$C292,$C6,E15:E292)</f>
        <v>27313892</v>
      </c>
      <c r="F6" s="31">
        <f>SUMIF($C15:$C292,$C6,F15:F292)</f>
        <v>17014703.34</v>
      </c>
      <c r="G6" s="31">
        <f>SUMIF($C15:$C292,$C6,G15:G292)</f>
        <v>3451191.6300000004</v>
      </c>
      <c r="H6" s="32">
        <f>ROUND(F6/E6*100,1)</f>
        <v>62.3</v>
      </c>
    </row>
    <row r="7" spans="1:8" ht="15">
      <c r="A7" s="18"/>
      <c r="B7" s="24" t="s">
        <v>4</v>
      </c>
      <c r="C7" s="12" t="s">
        <v>3</v>
      </c>
      <c r="D7" s="33">
        <f>SUM(D34,D40,D72,D74,D76,D78,D80,D107,D133,D134,D137,D144,D190,D195,D203,D206,D208,D215,D216,D226,D233,D237)</f>
        <v>13005239</v>
      </c>
      <c r="E7" s="33">
        <f>SUM(E34,E40,E72,E74,E76,E78,E80,E107,E133,E134,E137,E144,E190,E195,E203,E206,E208,E215,E216,E226,E233,E237,E239,E240,E241,E250)</f>
        <v>14470726</v>
      </c>
      <c r="F7" s="33">
        <f>SUM(F34,F40,F72,F74,F76,F78,F80,F107,F133,F134,F137,F144,F190,F195,F203,F206,F208,F215,F216,F226,F233,F237,F239,F240,F241,F250)</f>
        <v>9268079</v>
      </c>
      <c r="G7" s="33">
        <f>SUM(G34,G40,G72,G74,G76,G78,G80,G107,G133,G134,G137,G144,G190,G195,G203,G206,G208,G215,G216,G226,G233,G237,G239,G240,G241,G250)</f>
        <v>1487613.97</v>
      </c>
      <c r="H7" s="34">
        <f>ROUND(F7/E7*100,1)</f>
        <v>64</v>
      </c>
    </row>
    <row r="8" spans="1:8" ht="15">
      <c r="A8" s="18"/>
      <c r="B8" s="25" t="s">
        <v>5</v>
      </c>
      <c r="C8" s="13" t="s">
        <v>6</v>
      </c>
      <c r="D8" s="31">
        <f>SUMIF($C15:$C288,$C8,D15:D288)</f>
        <v>1028053</v>
      </c>
      <c r="E8" s="31">
        <f>SUMIF($C15:$C292,$C8,E15:E292)</f>
        <v>1178027</v>
      </c>
      <c r="F8" s="31">
        <f>SUMIF($C15:$C292,$C8,F15:F292)</f>
        <v>1083860.01</v>
      </c>
      <c r="G8" s="31">
        <f>SUMIF($C15:$C292,$C8,G15:G292)</f>
        <v>121303</v>
      </c>
      <c r="H8" s="32">
        <f>ROUND(F8/E8*100,1)</f>
        <v>92</v>
      </c>
    </row>
    <row r="9" spans="1:8" ht="15">
      <c r="A9" s="18"/>
      <c r="B9" s="25" t="s">
        <v>7</v>
      </c>
      <c r="C9" s="13" t="s">
        <v>8</v>
      </c>
      <c r="D9" s="31">
        <f>SUMIF($C15:$C256,$C9,D15:D256)</f>
        <v>960450</v>
      </c>
      <c r="E9" s="31">
        <f>SUMIF($C15:$C292,$C9,E15:E292)</f>
        <v>960450</v>
      </c>
      <c r="F9" s="31">
        <f>SUMIF($C15:$C292,$C9,F15:F292)</f>
        <v>544683.83</v>
      </c>
      <c r="G9" s="31">
        <f>SUMIF($C15:$C292,$C9,G15:G292)</f>
        <v>95857.74000000002</v>
      </c>
      <c r="H9" s="32">
        <f>ROUND(F9/E9*100,1)</f>
        <v>56.7</v>
      </c>
    </row>
    <row r="10" spans="1:8" ht="15">
      <c r="A10" s="18"/>
      <c r="B10" s="26"/>
      <c r="C10" s="15"/>
      <c r="D10" s="15"/>
      <c r="E10" s="14"/>
      <c r="F10" s="6"/>
      <c r="G10" s="6"/>
      <c r="H10" s="6"/>
    </row>
    <row r="11" spans="1:8" ht="15">
      <c r="A11" s="18"/>
      <c r="B11" s="313" t="s">
        <v>9</v>
      </c>
      <c r="C11" s="313"/>
      <c r="D11" s="313"/>
      <c r="E11" s="313"/>
      <c r="F11" s="313"/>
      <c r="G11" s="3"/>
      <c r="H11" s="6"/>
    </row>
    <row r="12" spans="1:12" ht="15">
      <c r="A12" s="18"/>
      <c r="B12" s="21"/>
      <c r="C12" s="16"/>
      <c r="D12" s="16"/>
      <c r="E12" s="3"/>
      <c r="F12" s="6"/>
      <c r="G12" s="6"/>
      <c r="H12" s="6"/>
      <c r="J12" s="268"/>
      <c r="K12" s="268"/>
      <c r="L12" s="268"/>
    </row>
    <row r="13" spans="1:8" ht="15" customHeight="1">
      <c r="A13" s="18"/>
      <c r="B13" s="314" t="s">
        <v>162</v>
      </c>
      <c r="C13" s="35"/>
      <c r="D13" s="316" t="s">
        <v>160</v>
      </c>
      <c r="E13" s="308"/>
      <c r="F13" s="309" t="s">
        <v>157</v>
      </c>
      <c r="G13" s="267"/>
      <c r="H13" s="314" t="s">
        <v>161</v>
      </c>
    </row>
    <row r="14" spans="1:11" ht="15">
      <c r="A14" s="18"/>
      <c r="B14" s="315"/>
      <c r="C14" s="36"/>
      <c r="D14" s="20" t="s">
        <v>158</v>
      </c>
      <c r="E14" s="2" t="s">
        <v>159</v>
      </c>
      <c r="F14" s="310"/>
      <c r="G14" s="2" t="s">
        <v>324</v>
      </c>
      <c r="H14" s="315"/>
      <c r="J14" s="268"/>
      <c r="K14" s="268"/>
    </row>
    <row r="15" spans="1:13" ht="15">
      <c r="A15" s="187"/>
      <c r="B15" s="188" t="s">
        <v>10</v>
      </c>
      <c r="C15" s="189"/>
      <c r="D15" s="190">
        <f>SUM(D16,D21,D25)</f>
        <v>1206450</v>
      </c>
      <c r="E15" s="190">
        <f>SUM(E16,E21,E25)</f>
        <v>1135450</v>
      </c>
      <c r="F15" s="190">
        <f>SUM(F16,F21)</f>
        <v>601153.95</v>
      </c>
      <c r="G15" s="190">
        <f>SUM(G16,G21,G25)</f>
        <v>98101.74000000002</v>
      </c>
      <c r="H15" s="191">
        <f aca="true" t="shared" si="0" ref="H15:H52">ROUND(F15/E15*100,1)</f>
        <v>52.9</v>
      </c>
      <c r="J15" s="268"/>
      <c r="K15" s="268"/>
      <c r="M15" s="272"/>
    </row>
    <row r="16" spans="1:8" ht="15">
      <c r="A16" s="187"/>
      <c r="B16" s="188" t="s">
        <v>11</v>
      </c>
      <c r="C16" s="189"/>
      <c r="D16" s="192">
        <f>SUM(D17:D20)</f>
        <v>960450</v>
      </c>
      <c r="E16" s="192">
        <f>SUM(E17:E20)</f>
        <v>960450</v>
      </c>
      <c r="F16" s="192">
        <f>SUM(F17:F20)</f>
        <v>544683.83</v>
      </c>
      <c r="G16" s="192">
        <f>SUM(G17:G20)</f>
        <v>95857.74000000002</v>
      </c>
      <c r="H16" s="191">
        <f t="shared" si="0"/>
        <v>56.7</v>
      </c>
    </row>
    <row r="17" spans="1:11" ht="15">
      <c r="A17" s="187" t="s">
        <v>12</v>
      </c>
      <c r="B17" s="193" t="s">
        <v>13</v>
      </c>
      <c r="C17" s="194" t="s">
        <v>8</v>
      </c>
      <c r="D17" s="195">
        <f>614+828400</f>
        <v>829014</v>
      </c>
      <c r="E17" s="195">
        <f>614+828400</f>
        <v>829014</v>
      </c>
      <c r="F17" s="196">
        <v>445706.05</v>
      </c>
      <c r="G17" s="195">
        <v>84976.91</v>
      </c>
      <c r="H17" s="191">
        <f t="shared" si="0"/>
        <v>53.8</v>
      </c>
      <c r="J17" s="268"/>
      <c r="K17" s="268"/>
    </row>
    <row r="18" spans="1:11" ht="30">
      <c r="A18" s="187" t="s">
        <v>14</v>
      </c>
      <c r="B18" s="193" t="s">
        <v>15</v>
      </c>
      <c r="C18" s="194" t="s">
        <v>8</v>
      </c>
      <c r="D18" s="195">
        <v>129853</v>
      </c>
      <c r="E18" s="195">
        <v>129853</v>
      </c>
      <c r="F18" s="195">
        <v>97725.54</v>
      </c>
      <c r="G18" s="195">
        <v>10758.54</v>
      </c>
      <c r="H18" s="191">
        <f t="shared" si="0"/>
        <v>75.3</v>
      </c>
      <c r="J18" s="268"/>
      <c r="K18" s="268"/>
    </row>
    <row r="19" spans="1:8" ht="15">
      <c r="A19" s="187" t="s">
        <v>16</v>
      </c>
      <c r="B19" s="193" t="s">
        <v>17</v>
      </c>
      <c r="C19" s="194" t="s">
        <v>8</v>
      </c>
      <c r="D19" s="195">
        <v>697</v>
      </c>
      <c r="E19" s="195">
        <v>697</v>
      </c>
      <c r="F19" s="195">
        <v>543.94</v>
      </c>
      <c r="G19" s="195">
        <v>56.69</v>
      </c>
      <c r="H19" s="191">
        <f t="shared" si="0"/>
        <v>78</v>
      </c>
    </row>
    <row r="20" spans="1:8" ht="15">
      <c r="A20" s="187" t="s">
        <v>14</v>
      </c>
      <c r="B20" s="193" t="s">
        <v>18</v>
      </c>
      <c r="C20" s="194" t="s">
        <v>8</v>
      </c>
      <c r="D20" s="195">
        <v>886</v>
      </c>
      <c r="E20" s="195">
        <v>886</v>
      </c>
      <c r="F20" s="195">
        <v>708.3</v>
      </c>
      <c r="G20" s="195">
        <v>65.6</v>
      </c>
      <c r="H20" s="191">
        <f t="shared" si="0"/>
        <v>79.9</v>
      </c>
    </row>
    <row r="21" spans="1:8" ht="15">
      <c r="A21" s="187"/>
      <c r="B21" s="193" t="s">
        <v>19</v>
      </c>
      <c r="C21" s="197"/>
      <c r="D21" s="192">
        <f>SUM(D22:D24)</f>
        <v>106000</v>
      </c>
      <c r="E21" s="192">
        <f>SUM(E22:E24)</f>
        <v>175000</v>
      </c>
      <c r="F21" s="192">
        <f>SUM(F22:F24)</f>
        <v>56470.119999999995</v>
      </c>
      <c r="G21" s="192">
        <f>SUM(G22:G24)</f>
        <v>2244</v>
      </c>
      <c r="H21" s="191">
        <f t="shared" si="0"/>
        <v>32.3</v>
      </c>
    </row>
    <row r="22" spans="1:12" ht="15">
      <c r="A22" s="187" t="s">
        <v>20</v>
      </c>
      <c r="B22" s="193" t="s">
        <v>21</v>
      </c>
      <c r="C22" s="194" t="s">
        <v>3</v>
      </c>
      <c r="D22" s="195">
        <v>90000</v>
      </c>
      <c r="E22" s="195">
        <v>90000</v>
      </c>
      <c r="F22" s="195">
        <v>35009.92</v>
      </c>
      <c r="G22" s="195">
        <v>2244</v>
      </c>
      <c r="H22" s="191">
        <f t="shared" si="0"/>
        <v>38.9</v>
      </c>
      <c r="J22" s="268"/>
      <c r="K22" s="268"/>
      <c r="L22" s="268"/>
    </row>
    <row r="23" spans="1:8" ht="15">
      <c r="A23" s="187" t="s">
        <v>20</v>
      </c>
      <c r="B23" s="193" t="s">
        <v>249</v>
      </c>
      <c r="C23" s="194" t="s">
        <v>3</v>
      </c>
      <c r="D23" s="195"/>
      <c r="E23" s="195">
        <v>14000</v>
      </c>
      <c r="F23" s="195"/>
      <c r="G23" s="195"/>
      <c r="H23" s="191">
        <f t="shared" si="0"/>
        <v>0</v>
      </c>
    </row>
    <row r="24" spans="1:8" ht="15">
      <c r="A24" s="187" t="s">
        <v>22</v>
      </c>
      <c r="B24" s="193" t="s">
        <v>23</v>
      </c>
      <c r="C24" s="194" t="s">
        <v>3</v>
      </c>
      <c r="D24" s="195">
        <v>16000</v>
      </c>
      <c r="E24" s="195">
        <f>16000+55000</f>
        <v>71000</v>
      </c>
      <c r="F24" s="195">
        <v>21460.2</v>
      </c>
      <c r="G24" s="195"/>
      <c r="H24" s="191">
        <f t="shared" si="0"/>
        <v>30.2</v>
      </c>
    </row>
    <row r="25" spans="1:10" ht="15">
      <c r="A25" s="187"/>
      <c r="B25" s="193" t="s">
        <v>24</v>
      </c>
      <c r="C25" s="194"/>
      <c r="D25" s="192">
        <f>SUM(D26)</f>
        <v>140000</v>
      </c>
      <c r="E25" s="192">
        <f>SUM(E26)</f>
        <v>0</v>
      </c>
      <c r="F25" s="192">
        <f>SUM(F26)</f>
        <v>0</v>
      </c>
      <c r="G25" s="192"/>
      <c r="H25" s="191"/>
      <c r="J25" s="273"/>
    </row>
    <row r="26" spans="1:8" ht="17.25" customHeight="1">
      <c r="A26" s="187" t="s">
        <v>12</v>
      </c>
      <c r="B26" s="193" t="s">
        <v>250</v>
      </c>
      <c r="C26" s="194" t="s">
        <v>3</v>
      </c>
      <c r="D26" s="195">
        <v>140000</v>
      </c>
      <c r="E26" s="195">
        <f>140000-140000</f>
        <v>0</v>
      </c>
      <c r="F26" s="195">
        <v>0</v>
      </c>
      <c r="G26" s="195"/>
      <c r="H26" s="191"/>
    </row>
    <row r="27" spans="1:8" ht="17.25" customHeight="1">
      <c r="A27" s="187"/>
      <c r="B27" s="188" t="s">
        <v>251</v>
      </c>
      <c r="C27" s="194"/>
      <c r="D27" s="195"/>
      <c r="E27" s="190">
        <f>SUM(E28)</f>
        <v>5500</v>
      </c>
      <c r="F27" s="195">
        <f>SUM(F28)</f>
        <v>5500</v>
      </c>
      <c r="G27" s="195"/>
      <c r="H27" s="191">
        <f t="shared" si="0"/>
        <v>100</v>
      </c>
    </row>
    <row r="28" spans="1:8" ht="17.25" customHeight="1">
      <c r="A28" s="187"/>
      <c r="B28" s="198" t="s">
        <v>252</v>
      </c>
      <c r="C28" s="194"/>
      <c r="D28" s="195"/>
      <c r="E28" s="195">
        <f>SUM(E29)</f>
        <v>5500</v>
      </c>
      <c r="F28" s="195">
        <f>SUM(F29)</f>
        <v>5500</v>
      </c>
      <c r="G28" s="195"/>
      <c r="H28" s="191">
        <f t="shared" si="0"/>
        <v>100</v>
      </c>
    </row>
    <row r="29" spans="1:8" ht="17.25" customHeight="1">
      <c r="A29" s="187" t="s">
        <v>12</v>
      </c>
      <c r="B29" s="193" t="s">
        <v>253</v>
      </c>
      <c r="C29" s="194" t="s">
        <v>6</v>
      </c>
      <c r="D29" s="195"/>
      <c r="E29" s="195">
        <v>5500</v>
      </c>
      <c r="F29" s="195">
        <v>5500</v>
      </c>
      <c r="G29" s="195"/>
      <c r="H29" s="191">
        <f t="shared" si="0"/>
        <v>100</v>
      </c>
    </row>
    <row r="30" spans="1:11" ht="15">
      <c r="A30" s="187"/>
      <c r="B30" s="199" t="s">
        <v>25</v>
      </c>
      <c r="C30" s="200"/>
      <c r="D30" s="190">
        <f>SUM(D31,D105,D108,D113)</f>
        <v>10946722</v>
      </c>
      <c r="E30" s="190">
        <f>SUM(E31,E105,E108,E113,E110)</f>
        <v>12756668</v>
      </c>
      <c r="F30" s="190">
        <f>SUM(F31,F105,F108,F113,F110)</f>
        <v>7367055.859999999</v>
      </c>
      <c r="G30" s="190">
        <f>SUM(G31,G105,G108,G113,G110)</f>
        <v>985540.89</v>
      </c>
      <c r="H30" s="201">
        <f t="shared" si="0"/>
        <v>57.8</v>
      </c>
      <c r="J30" s="268"/>
      <c r="K30" s="268"/>
    </row>
    <row r="31" spans="1:11" ht="15">
      <c r="A31" s="187" t="s">
        <v>26</v>
      </c>
      <c r="B31" s="202" t="s">
        <v>27</v>
      </c>
      <c r="C31" s="200"/>
      <c r="D31" s="203">
        <f>SUM(D32,D54:D70,D92,D97,D99,)</f>
        <v>10107148</v>
      </c>
      <c r="E31" s="203">
        <f>SUM(E32,E54,E60,E70,E92,E97,E99,E91)</f>
        <v>11876450</v>
      </c>
      <c r="F31" s="203">
        <f>SUM(F32,F54,F60,F92,F97,F99,F91,F70)</f>
        <v>7048129.84</v>
      </c>
      <c r="G31" s="203">
        <f>SUM(G32,G54,G60,G92,G97,G99,G91,G70)</f>
        <v>898064.43</v>
      </c>
      <c r="H31" s="191">
        <f t="shared" si="0"/>
        <v>59.3</v>
      </c>
      <c r="J31" s="268"/>
      <c r="K31" s="268"/>
    </row>
    <row r="32" spans="1:11" ht="15">
      <c r="A32" s="187" t="s">
        <v>26</v>
      </c>
      <c r="B32" s="199" t="s">
        <v>28</v>
      </c>
      <c r="C32" s="200"/>
      <c r="D32" s="190">
        <f>SUM(D33:D53)</f>
        <v>8306270</v>
      </c>
      <c r="E32" s="190">
        <f>SUM(E33:E48,E49)</f>
        <v>9342178</v>
      </c>
      <c r="F32" s="190">
        <f>SUM(F33:F48,F49)</f>
        <v>5883848.19</v>
      </c>
      <c r="G32" s="190">
        <f>SUM(G33:G49)</f>
        <v>687017.3700000001</v>
      </c>
      <c r="H32" s="191">
        <f t="shared" si="0"/>
        <v>63</v>
      </c>
      <c r="J32" s="268"/>
      <c r="K32" s="268"/>
    </row>
    <row r="33" spans="1:8" ht="15">
      <c r="A33" s="187"/>
      <c r="B33" s="204" t="s">
        <v>29</v>
      </c>
      <c r="C33" s="205" t="s">
        <v>3</v>
      </c>
      <c r="D33" s="195">
        <v>990000</v>
      </c>
      <c r="E33" s="195">
        <v>990000</v>
      </c>
      <c r="F33" s="195">
        <v>515594.72</v>
      </c>
      <c r="G33" s="195"/>
      <c r="H33" s="191">
        <f t="shared" si="0"/>
        <v>52.1</v>
      </c>
    </row>
    <row r="34" spans="1:11" ht="15">
      <c r="A34" s="187"/>
      <c r="B34" s="206" t="s">
        <v>29</v>
      </c>
      <c r="C34" s="207" t="s">
        <v>3</v>
      </c>
      <c r="D34" s="208">
        <v>5596670</v>
      </c>
      <c r="E34" s="208">
        <v>5596670</v>
      </c>
      <c r="F34" s="208">
        <v>3934341.33</v>
      </c>
      <c r="G34" s="208"/>
      <c r="H34" s="209">
        <f t="shared" si="0"/>
        <v>70.3</v>
      </c>
      <c r="J34" s="268"/>
      <c r="K34" s="268"/>
    </row>
    <row r="35" spans="1:8" ht="15">
      <c r="A35" s="187"/>
      <c r="B35" s="204" t="s">
        <v>30</v>
      </c>
      <c r="C35" s="205" t="s">
        <v>3</v>
      </c>
      <c r="D35" s="195">
        <v>226600</v>
      </c>
      <c r="E35" s="195">
        <v>226600</v>
      </c>
      <c r="F35" s="195">
        <v>226599.56</v>
      </c>
      <c r="G35" s="195"/>
      <c r="H35" s="191">
        <f t="shared" si="0"/>
        <v>100</v>
      </c>
    </row>
    <row r="36" spans="1:12" ht="15">
      <c r="A36" s="187"/>
      <c r="B36" s="204" t="s">
        <v>254</v>
      </c>
      <c r="C36" s="205" t="s">
        <v>3</v>
      </c>
      <c r="D36" s="205"/>
      <c r="E36" s="195">
        <v>300000</v>
      </c>
      <c r="F36" s="195">
        <v>73526.48</v>
      </c>
      <c r="G36" s="195">
        <v>63755.06</v>
      </c>
      <c r="H36" s="191">
        <f t="shared" si="0"/>
        <v>24.5</v>
      </c>
      <c r="J36" s="268"/>
      <c r="K36" s="268"/>
      <c r="L36" s="268"/>
    </row>
    <row r="37" spans="1:9" ht="15">
      <c r="A37" s="187"/>
      <c r="B37" s="204" t="s">
        <v>255</v>
      </c>
      <c r="C37" s="205" t="s">
        <v>3</v>
      </c>
      <c r="D37" s="195">
        <v>410000</v>
      </c>
      <c r="E37" s="195">
        <v>300000</v>
      </c>
      <c r="F37" s="195">
        <v>302907.62</v>
      </c>
      <c r="G37" s="195">
        <v>107343.53</v>
      </c>
      <c r="H37" s="191">
        <f t="shared" si="0"/>
        <v>101</v>
      </c>
      <c r="I37" s="269"/>
    </row>
    <row r="38" spans="1:8" ht="30">
      <c r="A38" s="187"/>
      <c r="B38" s="204" t="s">
        <v>31</v>
      </c>
      <c r="C38" s="205" t="s">
        <v>3</v>
      </c>
      <c r="D38" s="195">
        <v>500000</v>
      </c>
      <c r="E38" s="195">
        <v>500000</v>
      </c>
      <c r="F38" s="195">
        <v>43759.03</v>
      </c>
      <c r="G38" s="195">
        <v>42721.87</v>
      </c>
      <c r="H38" s="191">
        <f t="shared" si="0"/>
        <v>8.8</v>
      </c>
    </row>
    <row r="39" spans="1:8" ht="15">
      <c r="A39" s="187"/>
      <c r="B39" s="204" t="s">
        <v>256</v>
      </c>
      <c r="C39" s="205" t="s">
        <v>3</v>
      </c>
      <c r="D39" s="195"/>
      <c r="E39" s="195">
        <v>88235</v>
      </c>
      <c r="F39" s="195"/>
      <c r="G39" s="195"/>
      <c r="H39" s="191">
        <f t="shared" si="0"/>
        <v>0</v>
      </c>
    </row>
    <row r="40" spans="1:8" ht="15">
      <c r="A40" s="187"/>
      <c r="B40" s="206" t="s">
        <v>256</v>
      </c>
      <c r="C40" s="207" t="s">
        <v>3</v>
      </c>
      <c r="D40" s="208"/>
      <c r="E40" s="208">
        <v>500000</v>
      </c>
      <c r="F40" s="208">
        <v>307421.21</v>
      </c>
      <c r="G40" s="208">
        <v>304901.21</v>
      </c>
      <c r="H40" s="209">
        <f t="shared" si="0"/>
        <v>61.5</v>
      </c>
    </row>
    <row r="41" spans="1:8" ht="15">
      <c r="A41" s="187"/>
      <c r="B41" s="270" t="s">
        <v>266</v>
      </c>
      <c r="C41" s="205" t="s">
        <v>3</v>
      </c>
      <c r="D41" s="214"/>
      <c r="E41" s="214">
        <v>28167</v>
      </c>
      <c r="F41" s="214">
        <v>28422</v>
      </c>
      <c r="G41" s="214"/>
      <c r="H41" s="215">
        <f t="shared" si="0"/>
        <v>100.9</v>
      </c>
    </row>
    <row r="42" spans="1:8" ht="30">
      <c r="A42" s="187"/>
      <c r="B42" s="204" t="s">
        <v>32</v>
      </c>
      <c r="C42" s="205" t="s">
        <v>3</v>
      </c>
      <c r="D42" s="195">
        <v>400000</v>
      </c>
      <c r="E42" s="195">
        <v>400000</v>
      </c>
      <c r="F42" s="195">
        <v>388010</v>
      </c>
      <c r="G42" s="195">
        <v>168295.7</v>
      </c>
      <c r="H42" s="191">
        <f t="shared" si="0"/>
        <v>97</v>
      </c>
    </row>
    <row r="43" spans="1:8" ht="15">
      <c r="A43" s="187"/>
      <c r="B43" s="204" t="s">
        <v>257</v>
      </c>
      <c r="C43" s="205" t="s">
        <v>3</v>
      </c>
      <c r="D43" s="195">
        <v>25000</v>
      </c>
      <c r="E43" s="195">
        <v>25000</v>
      </c>
      <c r="F43" s="195"/>
      <c r="G43" s="195"/>
      <c r="H43" s="191">
        <f t="shared" si="0"/>
        <v>0</v>
      </c>
    </row>
    <row r="44" spans="1:8" ht="30">
      <c r="A44" s="187"/>
      <c r="B44" s="204" t="s">
        <v>258</v>
      </c>
      <c r="C44" s="205" t="s">
        <v>3</v>
      </c>
      <c r="D44" s="195"/>
      <c r="E44" s="195">
        <v>15000</v>
      </c>
      <c r="F44" s="195">
        <v>6300</v>
      </c>
      <c r="G44" s="195"/>
      <c r="H44" s="191">
        <f t="shared" si="0"/>
        <v>42</v>
      </c>
    </row>
    <row r="45" spans="1:8" ht="15">
      <c r="A45" s="187"/>
      <c r="B45" s="204" t="s">
        <v>33</v>
      </c>
      <c r="C45" s="205" t="s">
        <v>3</v>
      </c>
      <c r="D45" s="195"/>
      <c r="E45" s="195">
        <v>161506</v>
      </c>
      <c r="F45" s="195"/>
      <c r="G45" s="195"/>
      <c r="H45" s="191">
        <f t="shared" si="0"/>
        <v>0</v>
      </c>
    </row>
    <row r="46" spans="1:8" ht="30">
      <c r="A46" s="187"/>
      <c r="B46" s="204" t="s">
        <v>34</v>
      </c>
      <c r="C46" s="205" t="s">
        <v>3</v>
      </c>
      <c r="D46" s="195">
        <v>40000</v>
      </c>
      <c r="E46" s="195">
        <v>40000</v>
      </c>
      <c r="F46" s="195"/>
      <c r="G46" s="195"/>
      <c r="H46" s="191">
        <f t="shared" si="0"/>
        <v>0</v>
      </c>
    </row>
    <row r="47" spans="1:8" ht="30">
      <c r="A47" s="187"/>
      <c r="B47" s="204" t="s">
        <v>270</v>
      </c>
      <c r="C47" s="205" t="s">
        <v>3</v>
      </c>
      <c r="D47" s="190"/>
      <c r="E47" s="195">
        <v>53000</v>
      </c>
      <c r="F47" s="195">
        <v>49890.24</v>
      </c>
      <c r="G47" s="195"/>
      <c r="H47" s="191">
        <f t="shared" si="0"/>
        <v>94.1</v>
      </c>
    </row>
    <row r="48" spans="1:8" ht="15">
      <c r="A48" s="187"/>
      <c r="B48" s="204" t="s">
        <v>35</v>
      </c>
      <c r="C48" s="205" t="s">
        <v>3</v>
      </c>
      <c r="D48" s="195">
        <v>60000</v>
      </c>
      <c r="E48" s="195">
        <v>60000</v>
      </c>
      <c r="F48" s="195">
        <v>2000</v>
      </c>
      <c r="G48" s="195"/>
      <c r="H48" s="191">
        <f t="shared" si="0"/>
        <v>3.3</v>
      </c>
    </row>
    <row r="49" spans="1:8" ht="15">
      <c r="A49" s="187"/>
      <c r="B49" s="204" t="s">
        <v>36</v>
      </c>
      <c r="C49" s="205" t="s">
        <v>3</v>
      </c>
      <c r="D49" s="195">
        <v>38000</v>
      </c>
      <c r="E49" s="195">
        <f>38000+20000</f>
        <v>58000</v>
      </c>
      <c r="F49" s="195">
        <f>SUM(F50,F51,F52,F53)</f>
        <v>5076</v>
      </c>
      <c r="G49" s="195"/>
      <c r="H49" s="191">
        <f t="shared" si="0"/>
        <v>8.8</v>
      </c>
    </row>
    <row r="50" spans="1:8" ht="15">
      <c r="A50" s="187"/>
      <c r="B50" s="210" t="s">
        <v>37</v>
      </c>
      <c r="C50" s="205"/>
      <c r="D50" s="195"/>
      <c r="E50" s="195">
        <v>38000</v>
      </c>
      <c r="F50" s="195"/>
      <c r="G50" s="195"/>
      <c r="H50" s="191">
        <f t="shared" si="0"/>
        <v>0</v>
      </c>
    </row>
    <row r="51" spans="1:8" ht="30">
      <c r="A51" s="187"/>
      <c r="B51" s="210" t="s">
        <v>38</v>
      </c>
      <c r="C51" s="205"/>
      <c r="D51" s="195"/>
      <c r="E51" s="195"/>
      <c r="F51" s="195"/>
      <c r="G51" s="195"/>
      <c r="H51" s="191"/>
    </row>
    <row r="52" spans="1:8" ht="30">
      <c r="A52" s="187"/>
      <c r="B52" s="204" t="s">
        <v>259</v>
      </c>
      <c r="C52" s="205"/>
      <c r="D52" s="195">
        <v>20000</v>
      </c>
      <c r="E52" s="195">
        <v>20000</v>
      </c>
      <c r="F52" s="195">
        <v>3540</v>
      </c>
      <c r="G52" s="195"/>
      <c r="H52" s="191">
        <f t="shared" si="0"/>
        <v>17.7</v>
      </c>
    </row>
    <row r="53" spans="1:8" ht="15">
      <c r="A53" s="187"/>
      <c r="B53" s="204" t="s">
        <v>260</v>
      </c>
      <c r="C53" s="205"/>
      <c r="D53" s="195"/>
      <c r="E53" s="195"/>
      <c r="F53" s="195">
        <v>1536</v>
      </c>
      <c r="G53" s="195"/>
      <c r="H53" s="191"/>
    </row>
    <row r="54" spans="1:8" ht="15">
      <c r="A54" s="187" t="s">
        <v>26</v>
      </c>
      <c r="B54" s="199" t="s">
        <v>39</v>
      </c>
      <c r="C54" s="200" t="s">
        <v>3</v>
      </c>
      <c r="D54" s="190">
        <v>65000</v>
      </c>
      <c r="E54" s="190">
        <v>65000</v>
      </c>
      <c r="F54" s="190">
        <f>SUM(F55:F59)</f>
        <v>68720.74</v>
      </c>
      <c r="G54" s="190">
        <f>SUM(G55:G59)</f>
        <v>63920.74</v>
      </c>
      <c r="H54" s="191">
        <f>ROUND(F54/E54*100,1)</f>
        <v>105.7</v>
      </c>
    </row>
    <row r="55" spans="1:8" ht="15">
      <c r="A55" s="187"/>
      <c r="B55" s="204" t="s">
        <v>310</v>
      </c>
      <c r="C55" s="205"/>
      <c r="D55" s="195"/>
      <c r="E55" s="195"/>
      <c r="F55" s="195">
        <v>35715.28</v>
      </c>
      <c r="G55" s="195">
        <v>34515.28</v>
      </c>
      <c r="H55" s="191"/>
    </row>
    <row r="56" spans="1:8" ht="15">
      <c r="A56" s="187"/>
      <c r="B56" s="204" t="s">
        <v>311</v>
      </c>
      <c r="C56" s="205"/>
      <c r="D56" s="195"/>
      <c r="E56" s="195"/>
      <c r="F56" s="195">
        <v>1200</v>
      </c>
      <c r="G56" s="195"/>
      <c r="H56" s="191"/>
    </row>
    <row r="57" spans="1:8" ht="15">
      <c r="A57" s="187"/>
      <c r="B57" s="204" t="s">
        <v>312</v>
      </c>
      <c r="C57" s="205"/>
      <c r="D57" s="195"/>
      <c r="E57" s="195"/>
      <c r="F57" s="195">
        <v>21098.58</v>
      </c>
      <c r="G57" s="195">
        <v>19898.58</v>
      </c>
      <c r="H57" s="191"/>
    </row>
    <row r="58" spans="1:8" ht="15">
      <c r="A58" s="187"/>
      <c r="B58" s="204" t="s">
        <v>313</v>
      </c>
      <c r="C58" s="205"/>
      <c r="D58" s="195"/>
      <c r="E58" s="195"/>
      <c r="F58" s="195">
        <v>1200</v>
      </c>
      <c r="G58" s="195"/>
      <c r="H58" s="191"/>
    </row>
    <row r="59" spans="1:8" ht="15">
      <c r="A59" s="187"/>
      <c r="B59" s="204" t="s">
        <v>325</v>
      </c>
      <c r="C59" s="205"/>
      <c r="D59" s="195"/>
      <c r="E59" s="195"/>
      <c r="F59" s="195">
        <v>9506.88</v>
      </c>
      <c r="G59" s="195">
        <v>9506.88</v>
      </c>
      <c r="H59" s="191"/>
    </row>
    <row r="60" spans="1:8" ht="15">
      <c r="A60" s="187" t="s">
        <v>26</v>
      </c>
      <c r="B60" s="199" t="s">
        <v>40</v>
      </c>
      <c r="C60" s="200" t="s">
        <v>3</v>
      </c>
      <c r="D60" s="190">
        <v>650000</v>
      </c>
      <c r="E60" s="190">
        <f>650000+90000</f>
        <v>740000</v>
      </c>
      <c r="F60" s="190">
        <f>SUM(F61:F69)</f>
        <v>322475.16</v>
      </c>
      <c r="G60" s="190">
        <f>SUM(G61:G69)</f>
        <v>0</v>
      </c>
      <c r="H60" s="191">
        <f>ROUND(F60/E60*100,1)</f>
        <v>43.6</v>
      </c>
    </row>
    <row r="61" spans="1:8" ht="15">
      <c r="A61" s="187"/>
      <c r="B61" s="204" t="s">
        <v>41</v>
      </c>
      <c r="C61" s="200"/>
      <c r="D61" s="190"/>
      <c r="E61" s="190"/>
      <c r="F61" s="195">
        <v>101747.52</v>
      </c>
      <c r="G61" s="195"/>
      <c r="H61" s="191"/>
    </row>
    <row r="62" spans="1:8" ht="15">
      <c r="A62" s="187"/>
      <c r="B62" s="199" t="s">
        <v>42</v>
      </c>
      <c r="C62" s="200"/>
      <c r="D62" s="190"/>
      <c r="E62" s="190"/>
      <c r="F62" s="274">
        <v>79078.8</v>
      </c>
      <c r="G62" s="190"/>
      <c r="H62" s="191"/>
    </row>
    <row r="63" spans="1:8" ht="15">
      <c r="A63" s="187"/>
      <c r="B63" s="204" t="s">
        <v>43</v>
      </c>
      <c r="C63" s="200"/>
      <c r="D63" s="190"/>
      <c r="E63" s="190"/>
      <c r="F63" s="195">
        <v>1200</v>
      </c>
      <c r="G63" s="190"/>
      <c r="H63" s="191"/>
    </row>
    <row r="64" spans="1:8" ht="15">
      <c r="A64" s="187"/>
      <c r="B64" s="204" t="s">
        <v>44</v>
      </c>
      <c r="C64" s="200"/>
      <c r="D64" s="190"/>
      <c r="E64" s="190"/>
      <c r="F64" s="195">
        <v>39063.84</v>
      </c>
      <c r="G64" s="195"/>
      <c r="H64" s="191"/>
    </row>
    <row r="65" spans="1:8" ht="15">
      <c r="A65" s="187"/>
      <c r="B65" s="204" t="s">
        <v>45</v>
      </c>
      <c r="C65" s="200"/>
      <c r="D65" s="190"/>
      <c r="E65" s="190"/>
      <c r="F65" s="195">
        <v>33529.2</v>
      </c>
      <c r="G65" s="195"/>
      <c r="H65" s="191"/>
    </row>
    <row r="66" spans="1:8" ht="15">
      <c r="A66" s="187"/>
      <c r="B66" s="204" t="s">
        <v>326</v>
      </c>
      <c r="C66" s="200"/>
      <c r="D66" s="190"/>
      <c r="E66" s="190"/>
      <c r="F66" s="195">
        <v>17122.8</v>
      </c>
      <c r="G66" s="195"/>
      <c r="H66" s="191"/>
    </row>
    <row r="67" spans="1:8" ht="15">
      <c r="A67" s="187"/>
      <c r="B67" s="204" t="s">
        <v>261</v>
      </c>
      <c r="C67" s="200"/>
      <c r="D67" s="190"/>
      <c r="E67" s="190"/>
      <c r="F67" s="195">
        <v>47943</v>
      </c>
      <c r="G67" s="195"/>
      <c r="H67" s="191"/>
    </row>
    <row r="68" spans="1:8" ht="15">
      <c r="A68" s="187"/>
      <c r="B68" s="204" t="s">
        <v>262</v>
      </c>
      <c r="C68" s="200"/>
      <c r="D68" s="190"/>
      <c r="E68" s="190"/>
      <c r="F68" s="195">
        <v>2190</v>
      </c>
      <c r="G68" s="190"/>
      <c r="H68" s="191"/>
    </row>
    <row r="69" spans="1:8" ht="15">
      <c r="A69" s="187"/>
      <c r="B69" s="204" t="s">
        <v>327</v>
      </c>
      <c r="C69" s="200"/>
      <c r="D69" s="190"/>
      <c r="E69" s="190"/>
      <c r="F69" s="195">
        <v>600</v>
      </c>
      <c r="G69" s="195"/>
      <c r="H69" s="191"/>
    </row>
    <row r="70" spans="1:8" ht="15">
      <c r="A70" s="187" t="s">
        <v>26</v>
      </c>
      <c r="B70" s="199" t="s">
        <v>46</v>
      </c>
      <c r="C70" s="200" t="s">
        <v>3</v>
      </c>
      <c r="D70" s="190">
        <f>SUM(D71:D86)</f>
        <v>591971</v>
      </c>
      <c r="E70" s="190">
        <f>SUM(E71:E86)</f>
        <v>1175365</v>
      </c>
      <c r="F70" s="190">
        <f>SUM(F71:F86)</f>
        <v>354010.22</v>
      </c>
      <c r="G70" s="190">
        <f>SUM(G71:G86)</f>
        <v>98918.72</v>
      </c>
      <c r="H70" s="191">
        <f aca="true" t="shared" si="1" ref="H70:H92">ROUND(F70/E70*100,1)</f>
        <v>30.1</v>
      </c>
    </row>
    <row r="71" spans="1:8" ht="15">
      <c r="A71" s="187"/>
      <c r="B71" s="210" t="s">
        <v>47</v>
      </c>
      <c r="C71" s="205"/>
      <c r="D71" s="195">
        <v>40000</v>
      </c>
      <c r="E71" s="195">
        <f>40000+15000+38000-15000</f>
        <v>78000</v>
      </c>
      <c r="F71" s="195">
        <v>74866.56</v>
      </c>
      <c r="G71" s="195"/>
      <c r="H71" s="191">
        <f t="shared" si="1"/>
        <v>96</v>
      </c>
    </row>
    <row r="72" spans="1:8" ht="15">
      <c r="A72" s="187"/>
      <c r="B72" s="211" t="s">
        <v>47</v>
      </c>
      <c r="C72" s="207"/>
      <c r="D72" s="208"/>
      <c r="E72" s="208">
        <v>15000</v>
      </c>
      <c r="F72" s="208">
        <v>15000</v>
      </c>
      <c r="G72" s="208"/>
      <c r="H72" s="191">
        <f t="shared" si="1"/>
        <v>100</v>
      </c>
    </row>
    <row r="73" spans="1:8" ht="15">
      <c r="A73" s="187"/>
      <c r="B73" s="210" t="s">
        <v>48</v>
      </c>
      <c r="C73" s="205"/>
      <c r="D73" s="195">
        <v>78000</v>
      </c>
      <c r="E73" s="195">
        <v>78000</v>
      </c>
      <c r="F73" s="195">
        <v>30004.8</v>
      </c>
      <c r="G73" s="195"/>
      <c r="H73" s="191">
        <f t="shared" si="1"/>
        <v>38.5</v>
      </c>
    </row>
    <row r="74" spans="1:8" ht="15">
      <c r="A74" s="187"/>
      <c r="B74" s="211" t="s">
        <v>48</v>
      </c>
      <c r="C74" s="207"/>
      <c r="D74" s="208">
        <v>202852</v>
      </c>
      <c r="E74" s="208">
        <v>202852</v>
      </c>
      <c r="F74" s="208">
        <v>19321.15</v>
      </c>
      <c r="G74" s="208"/>
      <c r="H74" s="209">
        <f t="shared" si="1"/>
        <v>9.5</v>
      </c>
    </row>
    <row r="75" spans="1:8" ht="30">
      <c r="A75" s="187"/>
      <c r="B75" s="210" t="s">
        <v>49</v>
      </c>
      <c r="C75" s="205"/>
      <c r="D75" s="195">
        <v>10500</v>
      </c>
      <c r="E75" s="195">
        <v>10500</v>
      </c>
      <c r="F75" s="195">
        <v>9402.12</v>
      </c>
      <c r="G75" s="195">
        <v>540</v>
      </c>
      <c r="H75" s="191">
        <f t="shared" si="1"/>
        <v>89.5</v>
      </c>
    </row>
    <row r="76" spans="1:8" ht="30">
      <c r="A76" s="187"/>
      <c r="B76" s="211" t="s">
        <v>49</v>
      </c>
      <c r="C76" s="207"/>
      <c r="D76" s="208">
        <v>58119</v>
      </c>
      <c r="E76" s="208">
        <v>58119</v>
      </c>
      <c r="F76" s="208">
        <v>50218.69</v>
      </c>
      <c r="G76" s="208"/>
      <c r="H76" s="209">
        <f t="shared" si="1"/>
        <v>86.4</v>
      </c>
    </row>
    <row r="77" spans="1:8" ht="15">
      <c r="A77" s="187"/>
      <c r="B77" s="212" t="s">
        <v>263</v>
      </c>
      <c r="C77" s="213"/>
      <c r="D77" s="214"/>
      <c r="E77" s="214">
        <v>24750</v>
      </c>
      <c r="F77" s="214">
        <v>23141.18</v>
      </c>
      <c r="G77" s="214">
        <v>864.6</v>
      </c>
      <c r="H77" s="215">
        <f t="shared" si="1"/>
        <v>93.5</v>
      </c>
    </row>
    <row r="78" spans="1:8" ht="15">
      <c r="A78" s="187"/>
      <c r="B78" s="211" t="s">
        <v>263</v>
      </c>
      <c r="C78" s="207"/>
      <c r="D78" s="208"/>
      <c r="E78" s="208">
        <v>140250</v>
      </c>
      <c r="F78" s="208"/>
      <c r="G78" s="208"/>
      <c r="H78" s="209">
        <f t="shared" si="1"/>
        <v>0</v>
      </c>
    </row>
    <row r="79" spans="1:8" ht="30">
      <c r="A79" s="187"/>
      <c r="B79" s="212" t="s">
        <v>264</v>
      </c>
      <c r="C79" s="213"/>
      <c r="D79" s="214"/>
      <c r="E79" s="214">
        <v>18225</v>
      </c>
      <c r="F79" s="214">
        <v>6949.3</v>
      </c>
      <c r="G79" s="214">
        <v>2269.3</v>
      </c>
      <c r="H79" s="215">
        <f t="shared" si="1"/>
        <v>38.1</v>
      </c>
    </row>
    <row r="80" spans="1:8" ht="30">
      <c r="A80" s="187"/>
      <c r="B80" s="211" t="s">
        <v>264</v>
      </c>
      <c r="C80" s="207"/>
      <c r="D80" s="208"/>
      <c r="E80" s="208">
        <v>103275</v>
      </c>
      <c r="F80" s="208"/>
      <c r="G80" s="208"/>
      <c r="H80" s="209">
        <f t="shared" si="1"/>
        <v>0</v>
      </c>
    </row>
    <row r="81" spans="1:8" ht="30">
      <c r="A81" s="187"/>
      <c r="B81" s="212" t="s">
        <v>265</v>
      </c>
      <c r="C81" s="213"/>
      <c r="D81" s="214"/>
      <c r="E81" s="214">
        <v>75000</v>
      </c>
      <c r="F81" s="214">
        <v>6696</v>
      </c>
      <c r="G81" s="214">
        <v>6696</v>
      </c>
      <c r="H81" s="215">
        <f t="shared" si="1"/>
        <v>8.9</v>
      </c>
    </row>
    <row r="82" spans="1:8" ht="15">
      <c r="A82" s="187"/>
      <c r="B82" s="212" t="s">
        <v>54</v>
      </c>
      <c r="C82" s="213"/>
      <c r="D82" s="214"/>
      <c r="E82" s="214"/>
      <c r="F82" s="214">
        <v>19592.62</v>
      </c>
      <c r="G82" s="214">
        <v>19592.62</v>
      </c>
      <c r="H82" s="215"/>
    </row>
    <row r="83" spans="1:8" ht="15">
      <c r="A83" s="187"/>
      <c r="B83" s="212" t="s">
        <v>268</v>
      </c>
      <c r="C83" s="213"/>
      <c r="D83" s="214"/>
      <c r="E83" s="214">
        <v>7894</v>
      </c>
      <c r="F83" s="214">
        <v>7893.6</v>
      </c>
      <c r="G83" s="214"/>
      <c r="H83" s="215">
        <f t="shared" si="1"/>
        <v>100</v>
      </c>
    </row>
    <row r="84" spans="1:8" ht="30">
      <c r="A84" s="187"/>
      <c r="B84" s="216" t="s">
        <v>50</v>
      </c>
      <c r="C84" s="217"/>
      <c r="D84" s="218"/>
      <c r="E84" s="218">
        <v>70000</v>
      </c>
      <c r="F84" s="195">
        <v>68956.2</v>
      </c>
      <c r="G84" s="195">
        <v>68956.2</v>
      </c>
      <c r="H84" s="191">
        <f t="shared" si="1"/>
        <v>98.5</v>
      </c>
    </row>
    <row r="85" spans="1:8" ht="15">
      <c r="A85" s="187"/>
      <c r="B85" s="212" t="s">
        <v>267</v>
      </c>
      <c r="C85" s="213" t="s">
        <v>6</v>
      </c>
      <c r="D85" s="214"/>
      <c r="E85" s="214">
        <v>20000</v>
      </c>
      <c r="F85" s="214"/>
      <c r="G85" s="214"/>
      <c r="H85" s="215"/>
    </row>
    <row r="86" spans="1:8" ht="15">
      <c r="A86" s="187" t="s">
        <v>26</v>
      </c>
      <c r="B86" s="219" t="s">
        <v>51</v>
      </c>
      <c r="C86" s="200"/>
      <c r="D86" s="275">
        <f>-10500-78000+291000</f>
        <v>202500</v>
      </c>
      <c r="E86" s="190">
        <f>-10500-78000+291000+26000+45000</f>
        <v>273500</v>
      </c>
      <c r="F86" s="190">
        <f>SUM(F87:F90)</f>
        <v>21968</v>
      </c>
      <c r="G86" s="190">
        <f>SUM(G87:G90)</f>
        <v>0</v>
      </c>
      <c r="H86" s="191">
        <f t="shared" si="1"/>
        <v>8</v>
      </c>
    </row>
    <row r="87" spans="1:8" ht="30">
      <c r="A87" s="187"/>
      <c r="B87" s="210" t="s">
        <v>52</v>
      </c>
      <c r="C87" s="200"/>
      <c r="D87" s="190"/>
      <c r="E87" s="190"/>
      <c r="F87" s="195">
        <v>936</v>
      </c>
      <c r="G87" s="195"/>
      <c r="H87" s="191"/>
    </row>
    <row r="88" spans="1:8" ht="15">
      <c r="A88" s="187"/>
      <c r="B88" s="210" t="s">
        <v>328</v>
      </c>
      <c r="C88" s="200"/>
      <c r="D88" s="190"/>
      <c r="E88" s="190"/>
      <c r="F88" s="195">
        <v>14316</v>
      </c>
      <c r="G88" s="195"/>
      <c r="H88" s="191"/>
    </row>
    <row r="89" spans="1:8" ht="15">
      <c r="A89" s="187"/>
      <c r="B89" s="210" t="s">
        <v>53</v>
      </c>
      <c r="C89" s="200"/>
      <c r="D89" s="190"/>
      <c r="E89" s="190"/>
      <c r="F89" s="195">
        <v>4400</v>
      </c>
      <c r="G89" s="195"/>
      <c r="H89" s="191"/>
    </row>
    <row r="90" spans="1:8" ht="15">
      <c r="A90" s="187"/>
      <c r="B90" s="210" t="s">
        <v>54</v>
      </c>
      <c r="C90" s="200"/>
      <c r="D90" s="190"/>
      <c r="E90" s="190"/>
      <c r="F90" s="195">
        <v>2316</v>
      </c>
      <c r="G90" s="195"/>
      <c r="H90" s="191"/>
    </row>
    <row r="91" spans="1:8" ht="15">
      <c r="A91" s="187"/>
      <c r="B91" s="27" t="s">
        <v>269</v>
      </c>
      <c r="C91" s="200" t="s">
        <v>3</v>
      </c>
      <c r="D91" s="190"/>
      <c r="E91" s="190">
        <v>60000</v>
      </c>
      <c r="F91" s="190"/>
      <c r="G91" s="190"/>
      <c r="H91" s="191"/>
    </row>
    <row r="92" spans="1:8" ht="15">
      <c r="A92" s="187" t="s">
        <v>26</v>
      </c>
      <c r="B92" s="199" t="s">
        <v>55</v>
      </c>
      <c r="C92" s="200" t="s">
        <v>3</v>
      </c>
      <c r="D92" s="190">
        <v>200000</v>
      </c>
      <c r="E92" s="190">
        <v>200000</v>
      </c>
      <c r="F92" s="190">
        <f>SUM(F93,F94,F95,F96)</f>
        <v>208344</v>
      </c>
      <c r="G92" s="190">
        <f>SUM(G93,G94,G95,G96)</f>
        <v>0</v>
      </c>
      <c r="H92" s="191">
        <f t="shared" si="1"/>
        <v>104.2</v>
      </c>
    </row>
    <row r="93" spans="1:8" ht="15">
      <c r="A93" s="187"/>
      <c r="B93" s="204" t="s">
        <v>314</v>
      </c>
      <c r="C93" s="205"/>
      <c r="D93" s="195"/>
      <c r="E93" s="195"/>
      <c r="F93" s="195">
        <v>41400</v>
      </c>
      <c r="G93" s="195"/>
      <c r="H93" s="191"/>
    </row>
    <row r="94" spans="1:8" ht="30">
      <c r="A94" s="187"/>
      <c r="B94" s="204" t="s">
        <v>329</v>
      </c>
      <c r="C94" s="205"/>
      <c r="D94" s="195"/>
      <c r="E94" s="195"/>
      <c r="F94" s="195">
        <v>60600</v>
      </c>
      <c r="G94" s="195"/>
      <c r="H94" s="191"/>
    </row>
    <row r="95" spans="1:8" ht="30">
      <c r="A95" s="187"/>
      <c r="B95" s="204" t="s">
        <v>330</v>
      </c>
      <c r="C95" s="205"/>
      <c r="D95" s="195"/>
      <c r="E95" s="195"/>
      <c r="F95" s="195">
        <v>20640</v>
      </c>
      <c r="G95" s="195"/>
      <c r="H95" s="191"/>
    </row>
    <row r="96" spans="1:8" ht="15">
      <c r="A96" s="187"/>
      <c r="B96" s="204" t="s">
        <v>315</v>
      </c>
      <c r="C96" s="205"/>
      <c r="D96" s="195"/>
      <c r="E96" s="195"/>
      <c r="F96" s="195">
        <v>85704</v>
      </c>
      <c r="G96" s="195"/>
      <c r="H96" s="191"/>
    </row>
    <row r="97" spans="1:8" ht="15">
      <c r="A97" s="187" t="s">
        <v>26</v>
      </c>
      <c r="B97" s="199" t="s">
        <v>56</v>
      </c>
      <c r="C97" s="200"/>
      <c r="D97" s="190">
        <f>SUM(D98:D98)</f>
        <v>93907</v>
      </c>
      <c r="E97" s="190">
        <f>SUM(E98:E98)</f>
        <v>93907</v>
      </c>
      <c r="F97" s="190">
        <f>SUM(F98:F98)</f>
        <v>93907.01</v>
      </c>
      <c r="G97" s="190">
        <f>SUM(G98:G98)</f>
        <v>0</v>
      </c>
      <c r="H97" s="191">
        <f aca="true" t="shared" si="2" ref="H97:H134">ROUND(F97/E97*100,1)</f>
        <v>100</v>
      </c>
    </row>
    <row r="98" spans="1:8" ht="15">
      <c r="A98" s="187"/>
      <c r="B98" s="220" t="s">
        <v>57</v>
      </c>
      <c r="C98" s="205" t="s">
        <v>6</v>
      </c>
      <c r="D98" s="195">
        <v>93907</v>
      </c>
      <c r="E98" s="195">
        <v>93907</v>
      </c>
      <c r="F98" s="195">
        <v>93907.01</v>
      </c>
      <c r="G98" s="195"/>
      <c r="H98" s="191">
        <f t="shared" si="2"/>
        <v>100</v>
      </c>
    </row>
    <row r="99" spans="1:8" ht="15">
      <c r="A99" s="187" t="s">
        <v>26</v>
      </c>
      <c r="B99" s="199" t="s">
        <v>58</v>
      </c>
      <c r="C99" s="200" t="s">
        <v>3</v>
      </c>
      <c r="D99" s="190">
        <v>200000</v>
      </c>
      <c r="E99" s="190">
        <v>200000</v>
      </c>
      <c r="F99" s="190">
        <f>SUM(F100:F104)</f>
        <v>116824.51999999999</v>
      </c>
      <c r="G99" s="190">
        <f>SUM(G100:G104)</f>
        <v>48207.6</v>
      </c>
      <c r="H99" s="191">
        <f t="shared" si="2"/>
        <v>58.4</v>
      </c>
    </row>
    <row r="100" spans="1:8" ht="15">
      <c r="A100" s="187"/>
      <c r="B100" s="204" t="s">
        <v>316</v>
      </c>
      <c r="C100" s="200"/>
      <c r="D100" s="190"/>
      <c r="E100" s="195"/>
      <c r="F100" s="195">
        <v>25715.14</v>
      </c>
      <c r="G100" s="195"/>
      <c r="H100" s="191"/>
    </row>
    <row r="101" spans="1:8" ht="15">
      <c r="A101" s="187"/>
      <c r="B101" s="204" t="s">
        <v>317</v>
      </c>
      <c r="C101" s="200"/>
      <c r="D101" s="190"/>
      <c r="E101" s="195"/>
      <c r="F101" s="195">
        <v>18172.52</v>
      </c>
      <c r="G101" s="195"/>
      <c r="H101" s="191"/>
    </row>
    <row r="102" spans="1:8" ht="15">
      <c r="A102" s="187"/>
      <c r="B102" s="204" t="s">
        <v>331</v>
      </c>
      <c r="C102" s="200"/>
      <c r="D102" s="190"/>
      <c r="E102" s="195"/>
      <c r="F102" s="195">
        <v>24729.26</v>
      </c>
      <c r="G102" s="195"/>
      <c r="H102" s="191"/>
    </row>
    <row r="103" spans="1:8" ht="15">
      <c r="A103" s="187"/>
      <c r="B103" s="204" t="s">
        <v>332</v>
      </c>
      <c r="C103" s="200"/>
      <c r="D103" s="190"/>
      <c r="E103" s="195"/>
      <c r="F103" s="195">
        <v>43647.6</v>
      </c>
      <c r="G103" s="195">
        <v>43647.6</v>
      </c>
      <c r="H103" s="191"/>
    </row>
    <row r="104" spans="1:8" ht="15">
      <c r="A104" s="187"/>
      <c r="B104" s="204" t="s">
        <v>333</v>
      </c>
      <c r="C104" s="200"/>
      <c r="D104" s="190"/>
      <c r="E104" s="195"/>
      <c r="F104" s="195">
        <v>4560</v>
      </c>
      <c r="G104" s="195">
        <v>4560</v>
      </c>
      <c r="H104" s="191"/>
    </row>
    <row r="105" spans="1:8" ht="15">
      <c r="A105" s="187" t="s">
        <v>26</v>
      </c>
      <c r="B105" s="204" t="s">
        <v>59</v>
      </c>
      <c r="C105" s="205"/>
      <c r="D105" s="192">
        <f>SUM(D106:D107)</f>
        <v>576574</v>
      </c>
      <c r="E105" s="192">
        <f>SUM(E106:E107)</f>
        <v>581980</v>
      </c>
      <c r="F105" s="192">
        <f>SUM(F106:F107)</f>
        <v>95756.51</v>
      </c>
      <c r="G105" s="192">
        <f>SUM(G106:G107)</f>
        <v>0</v>
      </c>
      <c r="H105" s="191">
        <f t="shared" si="2"/>
        <v>16.5</v>
      </c>
    </row>
    <row r="106" spans="1:8" ht="30">
      <c r="A106" s="187"/>
      <c r="B106" s="204" t="s">
        <v>60</v>
      </c>
      <c r="C106" s="205" t="s">
        <v>3</v>
      </c>
      <c r="D106" s="195">
        <v>86486</v>
      </c>
      <c r="E106" s="195">
        <v>86486</v>
      </c>
      <c r="F106" s="195">
        <f>20649.86+225</f>
        <v>20874.86</v>
      </c>
      <c r="G106" s="195"/>
      <c r="H106" s="191">
        <f t="shared" si="2"/>
        <v>24.1</v>
      </c>
    </row>
    <row r="107" spans="1:8" ht="30">
      <c r="A107" s="187"/>
      <c r="B107" s="206" t="s">
        <v>60</v>
      </c>
      <c r="C107" s="207" t="s">
        <v>3</v>
      </c>
      <c r="D107" s="208">
        <v>490088</v>
      </c>
      <c r="E107" s="208">
        <f>490088+5406</f>
        <v>495494</v>
      </c>
      <c r="F107" s="208">
        <f>73606.65+1275</f>
        <v>74881.65</v>
      </c>
      <c r="G107" s="208"/>
      <c r="H107" s="209">
        <f t="shared" si="2"/>
        <v>15.1</v>
      </c>
    </row>
    <row r="108" spans="1:8" ht="15">
      <c r="A108" s="187"/>
      <c r="B108" s="221" t="s">
        <v>61</v>
      </c>
      <c r="C108" s="222"/>
      <c r="D108" s="192">
        <f>SUM(D109)</f>
        <v>85000</v>
      </c>
      <c r="E108" s="192">
        <f>SUM(E109)</f>
        <v>85000</v>
      </c>
      <c r="F108" s="192">
        <f>SUM(F109)</f>
        <v>85000</v>
      </c>
      <c r="G108" s="192">
        <f>SUM(G109)</f>
        <v>42500</v>
      </c>
      <c r="H108" s="191">
        <f t="shared" si="2"/>
        <v>100</v>
      </c>
    </row>
    <row r="109" spans="1:8" ht="30">
      <c r="A109" s="187" t="s">
        <v>62</v>
      </c>
      <c r="B109" s="204" t="s">
        <v>63</v>
      </c>
      <c r="C109" s="205" t="s">
        <v>6</v>
      </c>
      <c r="D109" s="195">
        <v>85000</v>
      </c>
      <c r="E109" s="195">
        <v>85000</v>
      </c>
      <c r="F109" s="195">
        <v>85000</v>
      </c>
      <c r="G109" s="195">
        <v>42500</v>
      </c>
      <c r="H109" s="191">
        <f t="shared" si="2"/>
        <v>100</v>
      </c>
    </row>
    <row r="110" spans="1:8" ht="15">
      <c r="A110" s="187"/>
      <c r="B110" s="202" t="s">
        <v>64</v>
      </c>
      <c r="C110" s="205"/>
      <c r="D110" s="195"/>
      <c r="E110" s="190">
        <f>SUM(E111,E112)</f>
        <v>6238</v>
      </c>
      <c r="F110" s="190">
        <f>SUM(F111,F112)</f>
        <v>4990.21</v>
      </c>
      <c r="G110" s="190">
        <f>SUM(G111,G112)</f>
        <v>0</v>
      </c>
      <c r="H110" s="191">
        <f>ROUND(F110/E110*100,1)</f>
        <v>80</v>
      </c>
    </row>
    <row r="111" spans="1:8" ht="15">
      <c r="A111" s="187" t="s">
        <v>20</v>
      </c>
      <c r="B111" s="204" t="s">
        <v>65</v>
      </c>
      <c r="C111" s="205" t="s">
        <v>3</v>
      </c>
      <c r="D111" s="195"/>
      <c r="E111" s="195">
        <f>6238-3700</f>
        <v>2538</v>
      </c>
      <c r="F111" s="195">
        <v>1290.21</v>
      </c>
      <c r="G111" s="195"/>
      <c r="H111" s="191">
        <f t="shared" si="2"/>
        <v>50.8</v>
      </c>
    </row>
    <row r="112" spans="1:8" ht="15">
      <c r="A112" s="187" t="s">
        <v>20</v>
      </c>
      <c r="B112" s="204" t="s">
        <v>334</v>
      </c>
      <c r="C112" s="205" t="s">
        <v>6</v>
      </c>
      <c r="D112" s="195"/>
      <c r="E112" s="195">
        <v>3700</v>
      </c>
      <c r="F112" s="195">
        <v>3700</v>
      </c>
      <c r="G112" s="195"/>
      <c r="H112" s="191">
        <f t="shared" si="2"/>
        <v>100</v>
      </c>
    </row>
    <row r="113" spans="1:8" ht="15">
      <c r="A113" s="187"/>
      <c r="B113" s="202" t="s">
        <v>66</v>
      </c>
      <c r="C113" s="200"/>
      <c r="D113" s="192">
        <f>SUM(D114:D117)</f>
        <v>178000</v>
      </c>
      <c r="E113" s="192">
        <f>SUM(E114:E117)</f>
        <v>207000</v>
      </c>
      <c r="F113" s="192">
        <f>SUM(F114:F117)</f>
        <v>133179.3</v>
      </c>
      <c r="G113" s="192">
        <f>SUM(G114:G117)</f>
        <v>44976.46</v>
      </c>
      <c r="H113" s="191">
        <f t="shared" si="2"/>
        <v>64.3</v>
      </c>
    </row>
    <row r="114" spans="1:8" ht="15">
      <c r="A114" s="187" t="s">
        <v>20</v>
      </c>
      <c r="B114" s="204" t="s">
        <v>67</v>
      </c>
      <c r="C114" s="205" t="s">
        <v>3</v>
      </c>
      <c r="D114" s="195">
        <v>45000</v>
      </c>
      <c r="E114" s="195">
        <v>45000</v>
      </c>
      <c r="F114" s="195">
        <v>21389.03</v>
      </c>
      <c r="G114" s="195"/>
      <c r="H114" s="191">
        <f t="shared" si="2"/>
        <v>47.5</v>
      </c>
    </row>
    <row r="115" spans="1:8" ht="15">
      <c r="A115" s="187" t="s">
        <v>20</v>
      </c>
      <c r="B115" s="204" t="s">
        <v>68</v>
      </c>
      <c r="C115" s="205" t="s">
        <v>3</v>
      </c>
      <c r="D115" s="195">
        <v>89000</v>
      </c>
      <c r="E115" s="195">
        <v>89000</v>
      </c>
      <c r="F115" s="195">
        <v>53320.27</v>
      </c>
      <c r="G115" s="195">
        <v>12601.9</v>
      </c>
      <c r="H115" s="191">
        <f t="shared" si="2"/>
        <v>59.9</v>
      </c>
    </row>
    <row r="116" spans="1:8" ht="15">
      <c r="A116" s="187" t="s">
        <v>20</v>
      </c>
      <c r="B116" s="204" t="s">
        <v>69</v>
      </c>
      <c r="C116" s="205" t="s">
        <v>3</v>
      </c>
      <c r="D116" s="195">
        <v>44000</v>
      </c>
      <c r="E116" s="195">
        <f>44000+19000</f>
        <v>63000</v>
      </c>
      <c r="F116" s="195">
        <v>58470</v>
      </c>
      <c r="G116" s="195">
        <v>28783.2</v>
      </c>
      <c r="H116" s="191">
        <f t="shared" si="2"/>
        <v>92.8</v>
      </c>
    </row>
    <row r="117" spans="1:8" ht="15">
      <c r="A117" s="187" t="s">
        <v>20</v>
      </c>
      <c r="B117" s="204" t="s">
        <v>318</v>
      </c>
      <c r="C117" s="205" t="s">
        <v>3</v>
      </c>
      <c r="D117" s="195"/>
      <c r="E117" s="195">
        <v>10000</v>
      </c>
      <c r="F117" s="195"/>
      <c r="G117" s="195">
        <v>3591.36</v>
      </c>
      <c r="H117" s="191">
        <f t="shared" si="2"/>
        <v>0</v>
      </c>
    </row>
    <row r="118" spans="1:8" ht="15">
      <c r="A118" s="187"/>
      <c r="B118" s="188" t="s">
        <v>70</v>
      </c>
      <c r="C118" s="189"/>
      <c r="D118" s="192">
        <f>SUM(D119,D121,D123)</f>
        <v>189000</v>
      </c>
      <c r="E118" s="192">
        <f>SUM(E119,E121,E123)</f>
        <v>509383</v>
      </c>
      <c r="F118" s="192">
        <f>SUM(F119,F121,F123)</f>
        <v>231597.32</v>
      </c>
      <c r="G118" s="192">
        <f>SUM(G119,G121,G123)</f>
        <v>53183.72</v>
      </c>
      <c r="H118" s="191">
        <f t="shared" si="2"/>
        <v>45.5</v>
      </c>
    </row>
    <row r="119" spans="1:8" ht="15">
      <c r="A119" s="187"/>
      <c r="B119" s="188" t="s">
        <v>71</v>
      </c>
      <c r="C119" s="189"/>
      <c r="D119" s="192">
        <f>SUM(D120)</f>
        <v>16000</v>
      </c>
      <c r="E119" s="192">
        <f>SUM(E120)</f>
        <v>16000</v>
      </c>
      <c r="F119" s="192">
        <f>SUM(F120)</f>
        <v>6000</v>
      </c>
      <c r="G119" s="192">
        <f>SUM(G120)</f>
        <v>6000</v>
      </c>
      <c r="H119" s="191">
        <f t="shared" si="2"/>
        <v>37.5</v>
      </c>
    </row>
    <row r="120" spans="1:8" ht="15">
      <c r="A120" s="187" t="s">
        <v>26</v>
      </c>
      <c r="B120" s="193" t="s">
        <v>72</v>
      </c>
      <c r="C120" s="194" t="s">
        <v>3</v>
      </c>
      <c r="D120" s="195">
        <v>16000</v>
      </c>
      <c r="E120" s="195">
        <v>16000</v>
      </c>
      <c r="F120" s="195">
        <v>6000</v>
      </c>
      <c r="G120" s="195">
        <v>6000</v>
      </c>
      <c r="H120" s="191">
        <f t="shared" si="2"/>
        <v>37.5</v>
      </c>
    </row>
    <row r="121" spans="1:8" ht="15">
      <c r="A121" s="223"/>
      <c r="B121" s="198" t="s">
        <v>73</v>
      </c>
      <c r="C121" s="197"/>
      <c r="D121" s="192">
        <f>SUM(D122)</f>
        <v>12000</v>
      </c>
      <c r="E121" s="192">
        <f>SUM(E122)</f>
        <v>12000</v>
      </c>
      <c r="F121" s="192">
        <f>SUM(F122)</f>
        <v>12000</v>
      </c>
      <c r="G121" s="192"/>
      <c r="H121" s="191">
        <f t="shared" si="2"/>
        <v>100</v>
      </c>
    </row>
    <row r="122" spans="1:8" ht="15">
      <c r="A122" s="187" t="s">
        <v>26</v>
      </c>
      <c r="B122" s="193" t="s">
        <v>74</v>
      </c>
      <c r="C122" s="194" t="s">
        <v>6</v>
      </c>
      <c r="D122" s="195">
        <v>12000</v>
      </c>
      <c r="E122" s="195">
        <v>12000</v>
      </c>
      <c r="F122" s="195">
        <v>12000</v>
      </c>
      <c r="G122" s="195"/>
      <c r="H122" s="191">
        <f t="shared" si="2"/>
        <v>100</v>
      </c>
    </row>
    <row r="123" spans="1:8" ht="15">
      <c r="A123" s="187"/>
      <c r="B123" s="188" t="s">
        <v>75</v>
      </c>
      <c r="C123" s="194"/>
      <c r="D123" s="192">
        <f>SUM(D124:D137)</f>
        <v>161000</v>
      </c>
      <c r="E123" s="192">
        <f>SUM(E124:E137)</f>
        <v>481383</v>
      </c>
      <c r="F123" s="192">
        <f>SUM(F124:F137)</f>
        <v>213597.32</v>
      </c>
      <c r="G123" s="192">
        <f>SUM(G124:G137)</f>
        <v>47183.72</v>
      </c>
      <c r="H123" s="191">
        <f t="shared" si="2"/>
        <v>44.4</v>
      </c>
    </row>
    <row r="124" spans="1:8" ht="15">
      <c r="A124" s="187" t="s">
        <v>26</v>
      </c>
      <c r="B124" s="220" t="s">
        <v>76</v>
      </c>
      <c r="C124" s="194" t="s">
        <v>3</v>
      </c>
      <c r="D124" s="195">
        <v>40000</v>
      </c>
      <c r="E124" s="195">
        <v>40000</v>
      </c>
      <c r="F124" s="195">
        <v>32458.8</v>
      </c>
      <c r="G124" s="195">
        <v>1440</v>
      </c>
      <c r="H124" s="191">
        <f t="shared" si="2"/>
        <v>81.1</v>
      </c>
    </row>
    <row r="125" spans="1:8" ht="15">
      <c r="A125" s="187" t="s">
        <v>26</v>
      </c>
      <c r="B125" s="220" t="s">
        <v>77</v>
      </c>
      <c r="C125" s="194" t="s">
        <v>3</v>
      </c>
      <c r="D125" s="195">
        <v>21000</v>
      </c>
      <c r="E125" s="195">
        <v>21000</v>
      </c>
      <c r="F125" s="195">
        <v>6720</v>
      </c>
      <c r="G125" s="195"/>
      <c r="H125" s="191">
        <f t="shared" si="2"/>
        <v>32</v>
      </c>
    </row>
    <row r="126" spans="1:8" ht="15">
      <c r="A126" s="187" t="s">
        <v>26</v>
      </c>
      <c r="B126" s="220" t="s">
        <v>335</v>
      </c>
      <c r="C126" s="194" t="s">
        <v>3</v>
      </c>
      <c r="D126" s="195"/>
      <c r="E126" s="195">
        <v>3150</v>
      </c>
      <c r="F126" s="195">
        <v>3150</v>
      </c>
      <c r="G126" s="195"/>
      <c r="H126" s="191">
        <f t="shared" si="2"/>
        <v>100</v>
      </c>
    </row>
    <row r="127" spans="1:8" ht="15">
      <c r="A127" s="187" t="s">
        <v>26</v>
      </c>
      <c r="B127" s="220" t="s">
        <v>271</v>
      </c>
      <c r="C127" s="194" t="s">
        <v>3</v>
      </c>
      <c r="D127" s="195">
        <v>5000</v>
      </c>
      <c r="E127" s="195">
        <v>5000</v>
      </c>
      <c r="F127" s="195"/>
      <c r="G127" s="195"/>
      <c r="H127" s="191">
        <f t="shared" si="2"/>
        <v>0</v>
      </c>
    </row>
    <row r="128" spans="1:8" ht="15">
      <c r="A128" s="187" t="s">
        <v>26</v>
      </c>
      <c r="B128" s="220" t="s">
        <v>78</v>
      </c>
      <c r="C128" s="194" t="s">
        <v>3</v>
      </c>
      <c r="D128" s="195">
        <f>15000+15000</f>
        <v>30000</v>
      </c>
      <c r="E128" s="195">
        <f>15000+15000</f>
        <v>30000</v>
      </c>
      <c r="F128" s="195"/>
      <c r="G128" s="195"/>
      <c r="H128" s="191">
        <f t="shared" si="2"/>
        <v>0</v>
      </c>
    </row>
    <row r="129" spans="1:8" ht="15">
      <c r="A129" s="187" t="s">
        <v>26</v>
      </c>
      <c r="B129" s="193" t="s">
        <v>79</v>
      </c>
      <c r="C129" s="194" t="s">
        <v>3</v>
      </c>
      <c r="D129" s="195">
        <v>65000</v>
      </c>
      <c r="E129" s="195">
        <f>65000+42400</f>
        <v>107400</v>
      </c>
      <c r="F129" s="195">
        <v>104400</v>
      </c>
      <c r="G129" s="195"/>
      <c r="H129" s="191">
        <f t="shared" si="2"/>
        <v>97.2</v>
      </c>
    </row>
    <row r="130" spans="1:8" ht="15">
      <c r="A130" s="187" t="s">
        <v>26</v>
      </c>
      <c r="B130" s="193" t="s">
        <v>272</v>
      </c>
      <c r="C130" s="194" t="s">
        <v>3</v>
      </c>
      <c r="D130" s="195"/>
      <c r="E130" s="195">
        <v>10000</v>
      </c>
      <c r="F130" s="195">
        <v>5000</v>
      </c>
      <c r="G130" s="195">
        <v>5000</v>
      </c>
      <c r="H130" s="191">
        <f t="shared" si="2"/>
        <v>50</v>
      </c>
    </row>
    <row r="131" spans="1:8" ht="15">
      <c r="A131" s="187" t="s">
        <v>26</v>
      </c>
      <c r="B131" s="224" t="s">
        <v>80</v>
      </c>
      <c r="C131" s="225" t="s">
        <v>3</v>
      </c>
      <c r="D131" s="226"/>
      <c r="E131" s="226">
        <v>70000</v>
      </c>
      <c r="F131" s="195">
        <v>4586.76</v>
      </c>
      <c r="G131" s="195">
        <v>3717.96</v>
      </c>
      <c r="H131" s="191">
        <f t="shared" si="2"/>
        <v>6.6</v>
      </c>
    </row>
    <row r="132" spans="1:8" ht="15">
      <c r="A132" s="187" t="s">
        <v>26</v>
      </c>
      <c r="B132" s="227" t="s">
        <v>273</v>
      </c>
      <c r="C132" s="228" t="s">
        <v>3</v>
      </c>
      <c r="D132" s="229"/>
      <c r="E132" s="229">
        <v>47000</v>
      </c>
      <c r="F132" s="229">
        <v>8820</v>
      </c>
      <c r="G132" s="229"/>
      <c r="H132" s="191">
        <f t="shared" si="2"/>
        <v>18.8</v>
      </c>
    </row>
    <row r="133" spans="1:8" ht="15">
      <c r="A133" s="230" t="s">
        <v>26</v>
      </c>
      <c r="B133" s="231" t="s">
        <v>273</v>
      </c>
      <c r="C133" s="232" t="s">
        <v>3</v>
      </c>
      <c r="D133" s="233"/>
      <c r="E133" s="233">
        <v>70000</v>
      </c>
      <c r="F133" s="233"/>
      <c r="G133" s="233"/>
      <c r="H133" s="209">
        <f t="shared" si="2"/>
        <v>0</v>
      </c>
    </row>
    <row r="134" spans="1:8" ht="15">
      <c r="A134" s="234" t="s">
        <v>26</v>
      </c>
      <c r="B134" s="231" t="s">
        <v>274</v>
      </c>
      <c r="C134" s="232" t="s">
        <v>3</v>
      </c>
      <c r="D134" s="233"/>
      <c r="E134" s="233">
        <v>70000</v>
      </c>
      <c r="F134" s="233">
        <v>40205.76</v>
      </c>
      <c r="G134" s="233">
        <v>36905.76</v>
      </c>
      <c r="H134" s="209">
        <f t="shared" si="2"/>
        <v>57.4</v>
      </c>
    </row>
    <row r="135" spans="1:8" ht="15">
      <c r="A135" s="187" t="s">
        <v>26</v>
      </c>
      <c r="B135" s="235" t="s">
        <v>81</v>
      </c>
      <c r="C135" s="228" t="s">
        <v>3</v>
      </c>
      <c r="D135" s="226"/>
      <c r="E135" s="226"/>
      <c r="F135" s="195">
        <v>303</v>
      </c>
      <c r="G135" s="195"/>
      <c r="H135" s="191"/>
    </row>
    <row r="136" spans="1:8" ht="15">
      <c r="A136" s="187" t="s">
        <v>26</v>
      </c>
      <c r="B136" s="235" t="s">
        <v>336</v>
      </c>
      <c r="C136" s="228" t="s">
        <v>3</v>
      </c>
      <c r="D136" s="226"/>
      <c r="E136" s="226"/>
      <c r="F136" s="195">
        <v>120</v>
      </c>
      <c r="G136" s="195">
        <v>120</v>
      </c>
      <c r="H136" s="191"/>
    </row>
    <row r="137" spans="1:8" ht="15">
      <c r="A137" s="187" t="s">
        <v>26</v>
      </c>
      <c r="B137" s="236" t="s">
        <v>82</v>
      </c>
      <c r="C137" s="237" t="s">
        <v>3</v>
      </c>
      <c r="D137" s="208"/>
      <c r="E137" s="208">
        <v>7833</v>
      </c>
      <c r="F137" s="208">
        <v>7833</v>
      </c>
      <c r="G137" s="208"/>
      <c r="H137" s="209">
        <f aca="true" t="shared" si="3" ref="H137:H209">ROUND(F137/E137*100,1)</f>
        <v>100</v>
      </c>
    </row>
    <row r="138" spans="1:8" ht="15">
      <c r="A138" s="187"/>
      <c r="B138" s="188" t="s">
        <v>83</v>
      </c>
      <c r="C138" s="189"/>
      <c r="D138" s="190">
        <f>SUM(D139,D142,D150)</f>
        <v>507470</v>
      </c>
      <c r="E138" s="190">
        <f>SUM(E139,E142,E150)</f>
        <v>569757</v>
      </c>
      <c r="F138" s="190">
        <f>SUM(F139,F142,F150)</f>
        <v>149573.36</v>
      </c>
      <c r="G138" s="190">
        <f>SUM(G139,G142,G150)</f>
        <v>44802.82</v>
      </c>
      <c r="H138" s="191">
        <f t="shared" si="3"/>
        <v>26.3</v>
      </c>
    </row>
    <row r="139" spans="1:8" ht="15">
      <c r="A139" s="187"/>
      <c r="B139" s="202" t="s">
        <v>84</v>
      </c>
      <c r="C139" s="200"/>
      <c r="D139" s="192">
        <f>SUM(D140:D141)</f>
        <v>180000</v>
      </c>
      <c r="E139" s="192">
        <f>SUM(E140:E141)</f>
        <v>192287</v>
      </c>
      <c r="F139" s="192">
        <f>SUM(F140:F141)</f>
        <v>110089.81</v>
      </c>
      <c r="G139" s="192">
        <f>SUM(G140:G141)</f>
        <v>14056.49</v>
      </c>
      <c r="H139" s="191">
        <f t="shared" si="3"/>
        <v>57.3</v>
      </c>
    </row>
    <row r="140" spans="1:8" ht="15">
      <c r="A140" s="187" t="s">
        <v>20</v>
      </c>
      <c r="B140" s="204" t="s">
        <v>85</v>
      </c>
      <c r="C140" s="205" t="s">
        <v>3</v>
      </c>
      <c r="D140" s="195">
        <v>60000</v>
      </c>
      <c r="E140" s="195">
        <f>60000+6982</f>
        <v>66982</v>
      </c>
      <c r="F140" s="195">
        <v>53378.26</v>
      </c>
      <c r="G140" s="195">
        <f>1332+8311.49</f>
        <v>9643.49</v>
      </c>
      <c r="H140" s="191">
        <f t="shared" si="3"/>
        <v>79.7</v>
      </c>
    </row>
    <row r="141" spans="1:8" ht="15">
      <c r="A141" s="187" t="s">
        <v>20</v>
      </c>
      <c r="B141" s="204" t="s">
        <v>86</v>
      </c>
      <c r="C141" s="205" t="s">
        <v>3</v>
      </c>
      <c r="D141" s="195">
        <v>120000</v>
      </c>
      <c r="E141" s="195">
        <f>120000+5305</f>
        <v>125305</v>
      </c>
      <c r="F141" s="195">
        <v>56711.55</v>
      </c>
      <c r="G141" s="195">
        <v>4413</v>
      </c>
      <c r="H141" s="191">
        <f t="shared" si="3"/>
        <v>45.3</v>
      </c>
    </row>
    <row r="142" spans="1:8" ht="15">
      <c r="A142" s="187"/>
      <c r="B142" s="202" t="s">
        <v>87</v>
      </c>
      <c r="C142" s="222"/>
      <c r="D142" s="192">
        <f>SUM(D143:D149)</f>
        <v>304970</v>
      </c>
      <c r="E142" s="192">
        <f>SUM(E143:E149)</f>
        <v>354970</v>
      </c>
      <c r="F142" s="192">
        <f>SUM(F143:F149)</f>
        <v>26707.77</v>
      </c>
      <c r="G142" s="192">
        <f>SUM(G143:G149)</f>
        <v>26707.77</v>
      </c>
      <c r="H142" s="191">
        <f t="shared" si="3"/>
        <v>7.5</v>
      </c>
    </row>
    <row r="143" spans="1:8" ht="30">
      <c r="A143" s="187" t="s">
        <v>26</v>
      </c>
      <c r="B143" s="204" t="s">
        <v>88</v>
      </c>
      <c r="C143" s="205" t="s">
        <v>3</v>
      </c>
      <c r="D143" s="195">
        <v>26460</v>
      </c>
      <c r="E143" s="195">
        <v>26460</v>
      </c>
      <c r="F143" s="195">
        <v>26707.77</v>
      </c>
      <c r="G143" s="195">
        <v>26707.77</v>
      </c>
      <c r="H143" s="191">
        <f t="shared" si="3"/>
        <v>100.9</v>
      </c>
    </row>
    <row r="144" spans="1:8" ht="30">
      <c r="A144" s="187" t="s">
        <v>26</v>
      </c>
      <c r="B144" s="206" t="s">
        <v>88</v>
      </c>
      <c r="C144" s="207" t="s">
        <v>3</v>
      </c>
      <c r="D144" s="208">
        <v>237510</v>
      </c>
      <c r="E144" s="208">
        <v>237510</v>
      </c>
      <c r="F144" s="208"/>
      <c r="G144" s="208"/>
      <c r="H144" s="209">
        <f t="shared" si="3"/>
        <v>0</v>
      </c>
    </row>
    <row r="145" spans="1:8" ht="30">
      <c r="A145" s="187" t="s">
        <v>26</v>
      </c>
      <c r="B145" s="204" t="s">
        <v>89</v>
      </c>
      <c r="C145" s="205" t="s">
        <v>3</v>
      </c>
      <c r="D145" s="195">
        <v>35000</v>
      </c>
      <c r="E145" s="195">
        <v>35000</v>
      </c>
      <c r="F145" s="190"/>
      <c r="G145" s="190"/>
      <c r="H145" s="191">
        <f t="shared" si="3"/>
        <v>0</v>
      </c>
    </row>
    <row r="146" spans="1:8" ht="15">
      <c r="A146" s="187" t="s">
        <v>26</v>
      </c>
      <c r="B146" s="204" t="s">
        <v>275</v>
      </c>
      <c r="C146" s="205" t="s">
        <v>3</v>
      </c>
      <c r="D146" s="195"/>
      <c r="E146" s="195">
        <v>10000</v>
      </c>
      <c r="F146" s="190"/>
      <c r="G146" s="190"/>
      <c r="H146" s="191">
        <f t="shared" si="3"/>
        <v>0</v>
      </c>
    </row>
    <row r="147" spans="1:8" ht="15">
      <c r="A147" s="187" t="s">
        <v>26</v>
      </c>
      <c r="B147" s="204" t="s">
        <v>276</v>
      </c>
      <c r="C147" s="205" t="s">
        <v>3</v>
      </c>
      <c r="D147" s="195"/>
      <c r="E147" s="195">
        <v>30000</v>
      </c>
      <c r="F147" s="190"/>
      <c r="G147" s="190"/>
      <c r="H147" s="191">
        <f t="shared" si="3"/>
        <v>0</v>
      </c>
    </row>
    <row r="148" spans="1:8" ht="30">
      <c r="A148" s="187" t="s">
        <v>26</v>
      </c>
      <c r="B148" s="204" t="s">
        <v>277</v>
      </c>
      <c r="C148" s="205" t="s">
        <v>3</v>
      </c>
      <c r="D148" s="195"/>
      <c r="E148" s="195">
        <v>10000</v>
      </c>
      <c r="F148" s="190"/>
      <c r="G148" s="190"/>
      <c r="H148" s="191">
        <f t="shared" si="3"/>
        <v>0</v>
      </c>
    </row>
    <row r="149" spans="1:8" ht="15">
      <c r="A149" s="187" t="s">
        <v>26</v>
      </c>
      <c r="B149" s="204" t="s">
        <v>90</v>
      </c>
      <c r="C149" s="205" t="s">
        <v>3</v>
      </c>
      <c r="D149" s="195">
        <v>6000</v>
      </c>
      <c r="E149" s="195">
        <v>6000</v>
      </c>
      <c r="F149" s="190"/>
      <c r="G149" s="190"/>
      <c r="H149" s="191">
        <f t="shared" si="3"/>
        <v>0</v>
      </c>
    </row>
    <row r="150" spans="1:8" ht="15">
      <c r="A150" s="187"/>
      <c r="B150" s="202" t="s">
        <v>91</v>
      </c>
      <c r="C150" s="200"/>
      <c r="D150" s="192">
        <f>SUM(D151:D155)</f>
        <v>22500</v>
      </c>
      <c r="E150" s="192">
        <f>SUM(E151:E155)</f>
        <v>22500</v>
      </c>
      <c r="F150" s="192">
        <f>SUM(F151:F155)</f>
        <v>12775.779999999999</v>
      </c>
      <c r="G150" s="192">
        <f>SUM(G151:G155)</f>
        <v>4038.56</v>
      </c>
      <c r="H150" s="191">
        <f t="shared" si="3"/>
        <v>56.8</v>
      </c>
    </row>
    <row r="151" spans="1:8" ht="15">
      <c r="A151" s="187" t="s">
        <v>26</v>
      </c>
      <c r="B151" s="204" t="s">
        <v>92</v>
      </c>
      <c r="C151" s="205" t="s">
        <v>3</v>
      </c>
      <c r="D151" s="195">
        <v>7500</v>
      </c>
      <c r="E151" s="195">
        <f>7500-2500</f>
        <v>5000</v>
      </c>
      <c r="F151" s="195">
        <v>4978.8</v>
      </c>
      <c r="G151" s="195"/>
      <c r="H151" s="191">
        <f t="shared" si="3"/>
        <v>99.6</v>
      </c>
    </row>
    <row r="152" spans="1:8" ht="15">
      <c r="A152" s="187" t="s">
        <v>26</v>
      </c>
      <c r="B152" s="204" t="s">
        <v>278</v>
      </c>
      <c r="C152" s="205" t="s">
        <v>3</v>
      </c>
      <c r="D152" s="195"/>
      <c r="E152" s="195">
        <v>10800</v>
      </c>
      <c r="F152" s="195">
        <v>5900.98</v>
      </c>
      <c r="G152" s="195">
        <v>4038.56</v>
      </c>
      <c r="H152" s="191">
        <f t="shared" si="3"/>
        <v>54.6</v>
      </c>
    </row>
    <row r="153" spans="1:8" ht="15">
      <c r="A153" s="187" t="s">
        <v>26</v>
      </c>
      <c r="B153" s="204" t="s">
        <v>279</v>
      </c>
      <c r="C153" s="205" t="s">
        <v>3</v>
      </c>
      <c r="D153" s="195"/>
      <c r="E153" s="195">
        <v>4200</v>
      </c>
      <c r="F153" s="195"/>
      <c r="G153" s="195"/>
      <c r="H153" s="191">
        <f t="shared" si="3"/>
        <v>0</v>
      </c>
    </row>
    <row r="154" spans="1:8" ht="15">
      <c r="A154" s="187" t="s">
        <v>26</v>
      </c>
      <c r="B154" s="204" t="s">
        <v>280</v>
      </c>
      <c r="C154" s="205" t="s">
        <v>3</v>
      </c>
      <c r="D154" s="195"/>
      <c r="E154" s="195">
        <v>2500</v>
      </c>
      <c r="F154" s="195">
        <v>1896</v>
      </c>
      <c r="G154" s="195"/>
      <c r="H154" s="191">
        <f t="shared" si="3"/>
        <v>75.8</v>
      </c>
    </row>
    <row r="155" spans="1:8" ht="15">
      <c r="A155" s="187" t="s">
        <v>26</v>
      </c>
      <c r="B155" s="204" t="s">
        <v>93</v>
      </c>
      <c r="C155" s="205" t="s">
        <v>3</v>
      </c>
      <c r="D155" s="195">
        <v>15000</v>
      </c>
      <c r="E155" s="195">
        <f>15000-15000</f>
        <v>0</v>
      </c>
      <c r="F155" s="190"/>
      <c r="G155" s="190"/>
      <c r="H155" s="191"/>
    </row>
    <row r="156" spans="1:8" ht="15">
      <c r="A156" s="187"/>
      <c r="B156" s="188" t="s">
        <v>94</v>
      </c>
      <c r="C156" s="189"/>
      <c r="D156" s="190">
        <f>SUM(D157,D169,D174,D177,D182)</f>
        <v>682146</v>
      </c>
      <c r="E156" s="190">
        <f>SUM(E157,E169,E174,E177,E182,E180,E198,E196)</f>
        <v>1079999</v>
      </c>
      <c r="F156" s="190">
        <f>SUM(F157,F169,F174,F177,F182,F180,F198,F196)</f>
        <v>938797.9</v>
      </c>
      <c r="G156" s="190">
        <f>SUM(G157,G169,G174,G177,G182,G198,G196)</f>
        <v>298830.97000000003</v>
      </c>
      <c r="H156" s="191">
        <f t="shared" si="3"/>
        <v>86.9</v>
      </c>
    </row>
    <row r="157" spans="1:8" ht="15">
      <c r="A157" s="187"/>
      <c r="B157" s="202" t="s">
        <v>95</v>
      </c>
      <c r="C157" s="200"/>
      <c r="D157" s="192">
        <f>SUM(D158:D164)</f>
        <v>298350</v>
      </c>
      <c r="E157" s="192">
        <f>SUM(E158:E164,E168)</f>
        <v>366264</v>
      </c>
      <c r="F157" s="192">
        <f>SUM(F158:F164,F168)</f>
        <v>304082.92000000004</v>
      </c>
      <c r="G157" s="192">
        <f>SUM(G158:G164,G168)</f>
        <v>107385.51</v>
      </c>
      <c r="H157" s="191">
        <f t="shared" si="3"/>
        <v>83</v>
      </c>
    </row>
    <row r="158" spans="1:8" ht="15">
      <c r="A158" s="187" t="s">
        <v>12</v>
      </c>
      <c r="B158" s="204" t="s">
        <v>96</v>
      </c>
      <c r="C158" s="205" t="s">
        <v>6</v>
      </c>
      <c r="D158" s="195">
        <v>48000</v>
      </c>
      <c r="E158" s="195">
        <v>48000</v>
      </c>
      <c r="F158" s="195">
        <v>48000</v>
      </c>
      <c r="G158" s="195"/>
      <c r="H158" s="191">
        <f t="shared" si="3"/>
        <v>100</v>
      </c>
    </row>
    <row r="159" spans="1:8" ht="15">
      <c r="A159" s="187" t="s">
        <v>12</v>
      </c>
      <c r="B159" s="204" t="s">
        <v>97</v>
      </c>
      <c r="C159" s="205" t="s">
        <v>6</v>
      </c>
      <c r="D159" s="195">
        <v>48000</v>
      </c>
      <c r="E159" s="195">
        <v>48000</v>
      </c>
      <c r="F159" s="195"/>
      <c r="G159" s="195"/>
      <c r="H159" s="191">
        <f t="shared" si="3"/>
        <v>0</v>
      </c>
    </row>
    <row r="160" spans="1:8" ht="15">
      <c r="A160" s="187" t="s">
        <v>20</v>
      </c>
      <c r="B160" s="204" t="s">
        <v>98</v>
      </c>
      <c r="C160" s="205" t="s">
        <v>3</v>
      </c>
      <c r="D160" s="195">
        <f>150000+15000</f>
        <v>165000</v>
      </c>
      <c r="E160" s="195">
        <f>150000+15000</f>
        <v>165000</v>
      </c>
      <c r="F160" s="195">
        <v>153288.66</v>
      </c>
      <c r="G160" s="195">
        <f>75275.1+1380.15</f>
        <v>76655.25</v>
      </c>
      <c r="H160" s="191">
        <f t="shared" si="3"/>
        <v>92.9</v>
      </c>
    </row>
    <row r="161" spans="1:8" ht="15">
      <c r="A161" s="187" t="s">
        <v>20</v>
      </c>
      <c r="B161" s="204" t="s">
        <v>281</v>
      </c>
      <c r="C161" s="205" t="s">
        <v>3</v>
      </c>
      <c r="D161" s="195"/>
      <c r="E161" s="195">
        <v>35000</v>
      </c>
      <c r="F161" s="195">
        <v>32530.26</v>
      </c>
      <c r="G161" s="195">
        <v>30730.26</v>
      </c>
      <c r="H161" s="191">
        <f t="shared" si="3"/>
        <v>92.9</v>
      </c>
    </row>
    <row r="162" spans="1:8" ht="15">
      <c r="A162" s="187" t="s">
        <v>20</v>
      </c>
      <c r="B162" s="204" t="s">
        <v>319</v>
      </c>
      <c r="C162" s="205" t="s">
        <v>3</v>
      </c>
      <c r="D162" s="195"/>
      <c r="E162" s="195">
        <v>13188</v>
      </c>
      <c r="F162" s="195">
        <v>13188</v>
      </c>
      <c r="G162" s="195"/>
      <c r="H162" s="191">
        <f t="shared" si="3"/>
        <v>100</v>
      </c>
    </row>
    <row r="163" spans="1:8" ht="15">
      <c r="A163" s="187" t="s">
        <v>20</v>
      </c>
      <c r="B163" s="204" t="s">
        <v>282</v>
      </c>
      <c r="C163" s="205" t="s">
        <v>3</v>
      </c>
      <c r="D163" s="195"/>
      <c r="E163" s="195">
        <v>4952</v>
      </c>
      <c r="F163" s="195">
        <v>4952</v>
      </c>
      <c r="G163" s="195"/>
      <c r="H163" s="191">
        <f t="shared" si="3"/>
        <v>100</v>
      </c>
    </row>
    <row r="164" spans="1:8" ht="15">
      <c r="A164" s="187"/>
      <c r="B164" s="204" t="s">
        <v>99</v>
      </c>
      <c r="C164" s="205" t="s">
        <v>6</v>
      </c>
      <c r="D164" s="195">
        <f>SUM(D165:D168)</f>
        <v>37350</v>
      </c>
      <c r="E164" s="195">
        <f>SUM(E165:E167)</f>
        <v>37124</v>
      </c>
      <c r="F164" s="195">
        <f>SUM(F165:F167)</f>
        <v>37124</v>
      </c>
      <c r="G164" s="195"/>
      <c r="H164" s="191">
        <f t="shared" si="3"/>
        <v>100</v>
      </c>
    </row>
    <row r="165" spans="1:8" ht="15">
      <c r="A165" s="187" t="s">
        <v>16</v>
      </c>
      <c r="B165" s="210" t="s">
        <v>100</v>
      </c>
      <c r="C165" s="205"/>
      <c r="D165" s="195">
        <v>22350</v>
      </c>
      <c r="E165" s="195">
        <v>22350</v>
      </c>
      <c r="F165" s="195">
        <v>22350</v>
      </c>
      <c r="G165" s="195"/>
      <c r="H165" s="191">
        <f t="shared" si="3"/>
        <v>100</v>
      </c>
    </row>
    <row r="166" spans="1:8" ht="15">
      <c r="A166" s="187"/>
      <c r="B166" s="210" t="s">
        <v>283</v>
      </c>
      <c r="C166" s="205"/>
      <c r="D166" s="195"/>
      <c r="E166" s="195">
        <v>8029</v>
      </c>
      <c r="F166" s="195">
        <v>8029</v>
      </c>
      <c r="G166" s="195"/>
      <c r="H166" s="191">
        <f t="shared" si="3"/>
        <v>100</v>
      </c>
    </row>
    <row r="167" spans="1:8" ht="15">
      <c r="A167" s="187"/>
      <c r="B167" s="210" t="s">
        <v>320</v>
      </c>
      <c r="C167" s="205"/>
      <c r="D167" s="195"/>
      <c r="E167" s="195">
        <v>6745</v>
      </c>
      <c r="F167" s="195">
        <v>6745</v>
      </c>
      <c r="G167" s="195"/>
      <c r="H167" s="191">
        <f t="shared" si="3"/>
        <v>100</v>
      </c>
    </row>
    <row r="168" spans="1:8" ht="15">
      <c r="A168" s="187" t="s">
        <v>20</v>
      </c>
      <c r="B168" s="210" t="s">
        <v>101</v>
      </c>
      <c r="C168" s="205" t="s">
        <v>3</v>
      </c>
      <c r="D168" s="195">
        <v>15000</v>
      </c>
      <c r="E168" s="195">
        <f>15000</f>
        <v>15000</v>
      </c>
      <c r="F168" s="195">
        <v>15000</v>
      </c>
      <c r="G168" s="195"/>
      <c r="H168" s="191">
        <f t="shared" si="3"/>
        <v>100</v>
      </c>
    </row>
    <row r="169" spans="1:8" ht="15">
      <c r="A169" s="238"/>
      <c r="B169" s="239" t="s">
        <v>102</v>
      </c>
      <c r="C169" s="240"/>
      <c r="D169" s="241">
        <f>SUM(D170)</f>
        <v>53796</v>
      </c>
      <c r="E169" s="241">
        <f>SUM(E170)</f>
        <v>83796</v>
      </c>
      <c r="F169" s="241">
        <f>SUM(F170)</f>
        <v>83796</v>
      </c>
      <c r="G169" s="241">
        <f>SUM(G170)</f>
        <v>37600</v>
      </c>
      <c r="H169" s="191">
        <f t="shared" si="3"/>
        <v>100</v>
      </c>
    </row>
    <row r="170" spans="1:8" ht="15">
      <c r="A170" s="187"/>
      <c r="B170" s="242" t="s">
        <v>103</v>
      </c>
      <c r="C170" s="243" t="s">
        <v>6</v>
      </c>
      <c r="D170" s="244">
        <f>SUM(D171:D173)</f>
        <v>53796</v>
      </c>
      <c r="E170" s="244">
        <f>SUM(E171:E173)</f>
        <v>83796</v>
      </c>
      <c r="F170" s="244">
        <f>SUM(F171:F173)</f>
        <v>83796</v>
      </c>
      <c r="G170" s="244">
        <f>SUM(G171:G173)</f>
        <v>37600</v>
      </c>
      <c r="H170" s="191">
        <f t="shared" si="3"/>
        <v>100</v>
      </c>
    </row>
    <row r="171" spans="1:8" ht="15">
      <c r="A171" s="187" t="s">
        <v>16</v>
      </c>
      <c r="B171" s="210" t="s">
        <v>104</v>
      </c>
      <c r="C171" s="205"/>
      <c r="D171" s="195">
        <v>9196</v>
      </c>
      <c r="E171" s="195">
        <v>9196</v>
      </c>
      <c r="F171" s="195">
        <v>9196</v>
      </c>
      <c r="G171" s="195"/>
      <c r="H171" s="191">
        <f t="shared" si="3"/>
        <v>100</v>
      </c>
    </row>
    <row r="172" spans="1:8" ht="15">
      <c r="A172" s="187" t="s">
        <v>16</v>
      </c>
      <c r="B172" s="210" t="s">
        <v>105</v>
      </c>
      <c r="C172" s="205"/>
      <c r="D172" s="195">
        <v>37600</v>
      </c>
      <c r="E172" s="195">
        <v>37600</v>
      </c>
      <c r="F172" s="195">
        <v>37600</v>
      </c>
      <c r="G172" s="195">
        <v>37600</v>
      </c>
      <c r="H172" s="191">
        <f t="shared" si="3"/>
        <v>100</v>
      </c>
    </row>
    <row r="173" spans="1:8" ht="15">
      <c r="A173" s="187" t="s">
        <v>16</v>
      </c>
      <c r="B173" s="210" t="s">
        <v>106</v>
      </c>
      <c r="C173" s="205"/>
      <c r="D173" s="195">
        <v>7000</v>
      </c>
      <c r="E173" s="195">
        <f>7000+30000</f>
        <v>37000</v>
      </c>
      <c r="F173" s="195">
        <v>37000</v>
      </c>
      <c r="G173" s="195"/>
      <c r="H173" s="191">
        <f t="shared" si="3"/>
        <v>100</v>
      </c>
    </row>
    <row r="174" spans="1:8" ht="15">
      <c r="A174" s="187"/>
      <c r="B174" s="204" t="s">
        <v>107</v>
      </c>
      <c r="C174" s="205"/>
      <c r="D174" s="192">
        <f>SUM(D175:D176)</f>
        <v>70000</v>
      </c>
      <c r="E174" s="192">
        <f>SUM(E175:E176)</f>
        <v>70000</v>
      </c>
      <c r="F174" s="192">
        <f>SUM(F175:F176)</f>
        <v>40205</v>
      </c>
      <c r="G174" s="192">
        <f>SUM(G175:G176)</f>
        <v>0</v>
      </c>
      <c r="H174" s="191">
        <f t="shared" si="3"/>
        <v>57.4</v>
      </c>
    </row>
    <row r="175" spans="1:8" ht="15">
      <c r="A175" s="187" t="s">
        <v>20</v>
      </c>
      <c r="B175" s="221" t="s">
        <v>108</v>
      </c>
      <c r="C175" s="205" t="s">
        <v>3</v>
      </c>
      <c r="D175" s="195">
        <v>60000</v>
      </c>
      <c r="E175" s="195">
        <v>60000</v>
      </c>
      <c r="F175" s="195">
        <v>35535</v>
      </c>
      <c r="G175" s="195"/>
      <c r="H175" s="191">
        <f t="shared" si="3"/>
        <v>59.2</v>
      </c>
    </row>
    <row r="176" spans="1:8" ht="15">
      <c r="A176" s="187" t="s">
        <v>16</v>
      </c>
      <c r="B176" s="221" t="s">
        <v>109</v>
      </c>
      <c r="C176" s="205" t="s">
        <v>3</v>
      </c>
      <c r="D176" s="195">
        <v>10000</v>
      </c>
      <c r="E176" s="195">
        <v>10000</v>
      </c>
      <c r="F176" s="195">
        <v>4670</v>
      </c>
      <c r="G176" s="195"/>
      <c r="H176" s="191">
        <f t="shared" si="3"/>
        <v>46.7</v>
      </c>
    </row>
    <row r="177" spans="1:8" ht="15">
      <c r="A177" s="187"/>
      <c r="B177" s="202" t="s">
        <v>110</v>
      </c>
      <c r="C177" s="200"/>
      <c r="D177" s="192">
        <f>SUM(D178:D179)</f>
        <v>10000</v>
      </c>
      <c r="E177" s="192">
        <f>SUM(E178:E179)</f>
        <v>80000</v>
      </c>
      <c r="F177" s="192">
        <f>SUM(F178:F179)</f>
        <v>91510.59</v>
      </c>
      <c r="G177" s="192">
        <f>SUM(G178:G179)</f>
        <v>58059.16</v>
      </c>
      <c r="H177" s="191">
        <f t="shared" si="3"/>
        <v>114.4</v>
      </c>
    </row>
    <row r="178" spans="1:8" ht="30">
      <c r="A178" s="187" t="s">
        <v>16</v>
      </c>
      <c r="B178" s="221" t="s">
        <v>111</v>
      </c>
      <c r="C178" s="205" t="s">
        <v>6</v>
      </c>
      <c r="D178" s="195">
        <v>10000</v>
      </c>
      <c r="E178" s="195">
        <v>10000</v>
      </c>
      <c r="F178" s="195">
        <v>10000</v>
      </c>
      <c r="G178" s="195"/>
      <c r="H178" s="191">
        <f t="shared" si="3"/>
        <v>100</v>
      </c>
    </row>
    <row r="179" spans="1:8" ht="15">
      <c r="A179" s="187" t="s">
        <v>20</v>
      </c>
      <c r="B179" s="221" t="s">
        <v>284</v>
      </c>
      <c r="C179" s="205" t="s">
        <v>3</v>
      </c>
      <c r="D179" s="195"/>
      <c r="E179" s="195">
        <v>70000</v>
      </c>
      <c r="F179" s="195">
        <v>81510.59</v>
      </c>
      <c r="G179" s="195">
        <v>58059.16</v>
      </c>
      <c r="H179" s="191">
        <f t="shared" si="3"/>
        <v>116.4</v>
      </c>
    </row>
    <row r="180" spans="1:8" ht="15">
      <c r="A180" s="187"/>
      <c r="B180" s="245" t="s">
        <v>285</v>
      </c>
      <c r="C180" s="205"/>
      <c r="D180" s="195"/>
      <c r="E180" s="190">
        <f>SUM(E181)</f>
        <v>30000</v>
      </c>
      <c r="F180" s="195"/>
      <c r="G180" s="195"/>
      <c r="H180" s="191">
        <f t="shared" si="3"/>
        <v>0</v>
      </c>
    </row>
    <row r="181" spans="1:8" ht="30">
      <c r="A181" s="187" t="s">
        <v>20</v>
      </c>
      <c r="B181" s="221" t="s">
        <v>342</v>
      </c>
      <c r="C181" s="205" t="s">
        <v>3</v>
      </c>
      <c r="D181" s="195"/>
      <c r="E181" s="195">
        <v>30000</v>
      </c>
      <c r="F181" s="195"/>
      <c r="G181" s="195"/>
      <c r="H181" s="191">
        <f t="shared" si="3"/>
        <v>0</v>
      </c>
    </row>
    <row r="182" spans="1:8" ht="15">
      <c r="A182" s="187"/>
      <c r="B182" s="202" t="s">
        <v>112</v>
      </c>
      <c r="C182" s="222"/>
      <c r="D182" s="192">
        <f>SUM(D183:D191)</f>
        <v>250000</v>
      </c>
      <c r="E182" s="192">
        <f>SUM(E183:E195)</f>
        <v>430939</v>
      </c>
      <c r="F182" s="192">
        <f>SUM(F183:F195)</f>
        <v>400203.39</v>
      </c>
      <c r="G182" s="192">
        <f>SUM(G183:G195)</f>
        <v>95786.3</v>
      </c>
      <c r="H182" s="191">
        <f t="shared" si="3"/>
        <v>92.9</v>
      </c>
    </row>
    <row r="183" spans="1:8" ht="15">
      <c r="A183" s="187" t="s">
        <v>20</v>
      </c>
      <c r="B183" s="4" t="s">
        <v>113</v>
      </c>
      <c r="C183" s="205" t="s">
        <v>6</v>
      </c>
      <c r="D183" s="195">
        <v>128000</v>
      </c>
      <c r="E183" s="195">
        <v>128000</v>
      </c>
      <c r="F183" s="195">
        <v>128000</v>
      </c>
      <c r="G183" s="195"/>
      <c r="H183" s="191">
        <f t="shared" si="3"/>
        <v>100</v>
      </c>
    </row>
    <row r="184" spans="1:8" ht="15">
      <c r="A184" s="187" t="s">
        <v>26</v>
      </c>
      <c r="B184" s="4" t="s">
        <v>114</v>
      </c>
      <c r="C184" s="205" t="s">
        <v>3</v>
      </c>
      <c r="D184" s="195">
        <v>50000</v>
      </c>
      <c r="E184" s="195">
        <f>50000+7500+37500+10039+9300</f>
        <v>114339</v>
      </c>
      <c r="F184" s="195">
        <v>111770.39</v>
      </c>
      <c r="G184" s="195">
        <v>19971.3</v>
      </c>
      <c r="H184" s="191">
        <f t="shared" si="3"/>
        <v>97.8</v>
      </c>
    </row>
    <row r="185" spans="1:8" ht="15">
      <c r="A185" s="187" t="s">
        <v>115</v>
      </c>
      <c r="B185" s="4" t="s">
        <v>116</v>
      </c>
      <c r="C185" s="205" t="s">
        <v>6</v>
      </c>
      <c r="D185" s="195">
        <v>30000</v>
      </c>
      <c r="E185" s="195">
        <v>30000</v>
      </c>
      <c r="F185" s="195">
        <v>30000</v>
      </c>
      <c r="G185" s="195"/>
      <c r="H185" s="191">
        <f t="shared" si="3"/>
        <v>100</v>
      </c>
    </row>
    <row r="186" spans="1:8" ht="15">
      <c r="A186" s="187" t="s">
        <v>20</v>
      </c>
      <c r="B186" s="4" t="s">
        <v>117</v>
      </c>
      <c r="C186" s="205" t="s">
        <v>6</v>
      </c>
      <c r="D186" s="195">
        <v>10000</v>
      </c>
      <c r="E186" s="195">
        <f>10000+7000</f>
        <v>17000</v>
      </c>
      <c r="F186" s="195">
        <v>17000</v>
      </c>
      <c r="G186" s="195"/>
      <c r="H186" s="191">
        <f t="shared" si="3"/>
        <v>100</v>
      </c>
    </row>
    <row r="187" spans="1:8" ht="30">
      <c r="A187" s="187" t="s">
        <v>20</v>
      </c>
      <c r="B187" s="4" t="s">
        <v>286</v>
      </c>
      <c r="C187" s="205" t="s">
        <v>6</v>
      </c>
      <c r="D187" s="195"/>
      <c r="E187" s="195">
        <v>5000</v>
      </c>
      <c r="F187" s="195">
        <v>5000</v>
      </c>
      <c r="G187" s="195"/>
      <c r="H187" s="191">
        <f t="shared" si="3"/>
        <v>100</v>
      </c>
    </row>
    <row r="188" spans="1:8" ht="30">
      <c r="A188" s="187" t="s">
        <v>20</v>
      </c>
      <c r="B188" s="4" t="s">
        <v>287</v>
      </c>
      <c r="C188" s="205" t="s">
        <v>6</v>
      </c>
      <c r="D188" s="195"/>
      <c r="E188" s="195">
        <v>5000</v>
      </c>
      <c r="F188" s="195">
        <v>5000</v>
      </c>
      <c r="G188" s="195"/>
      <c r="H188" s="191">
        <f t="shared" si="3"/>
        <v>100</v>
      </c>
    </row>
    <row r="189" spans="1:8" ht="15">
      <c r="A189" s="187" t="s">
        <v>115</v>
      </c>
      <c r="B189" s="4" t="s">
        <v>118</v>
      </c>
      <c r="C189" s="205" t="s">
        <v>3</v>
      </c>
      <c r="D189" s="195"/>
      <c r="E189" s="195">
        <v>3400</v>
      </c>
      <c r="F189" s="195">
        <v>3400</v>
      </c>
      <c r="G189" s="195"/>
      <c r="H189" s="191">
        <f t="shared" si="3"/>
        <v>100</v>
      </c>
    </row>
    <row r="190" spans="1:8" ht="15">
      <c r="A190" s="230" t="s">
        <v>115</v>
      </c>
      <c r="B190" s="5" t="s">
        <v>118</v>
      </c>
      <c r="C190" s="207" t="s">
        <v>3</v>
      </c>
      <c r="D190" s="208"/>
      <c r="E190" s="208">
        <v>37500</v>
      </c>
      <c r="F190" s="208">
        <v>37500</v>
      </c>
      <c r="G190" s="208">
        <v>34612</v>
      </c>
      <c r="H190" s="209">
        <f t="shared" si="3"/>
        <v>100</v>
      </c>
    </row>
    <row r="191" spans="1:8" ht="15">
      <c r="A191" s="187" t="s">
        <v>115</v>
      </c>
      <c r="B191" s="204" t="s">
        <v>119</v>
      </c>
      <c r="C191" s="205" t="s">
        <v>6</v>
      </c>
      <c r="D191" s="195">
        <v>32000</v>
      </c>
      <c r="E191" s="195">
        <v>32000</v>
      </c>
      <c r="F191" s="195">
        <v>5833</v>
      </c>
      <c r="G191" s="195">
        <v>1203</v>
      </c>
      <c r="H191" s="191">
        <f t="shared" si="3"/>
        <v>18.2</v>
      </c>
    </row>
    <row r="192" spans="1:8" ht="30">
      <c r="A192" s="187" t="s">
        <v>115</v>
      </c>
      <c r="B192" s="204" t="s">
        <v>288</v>
      </c>
      <c r="C192" s="205" t="s">
        <v>6</v>
      </c>
      <c r="D192" s="195"/>
      <c r="E192" s="195">
        <v>15000</v>
      </c>
      <c r="F192" s="195">
        <v>15000</v>
      </c>
      <c r="G192" s="195"/>
      <c r="H192" s="191">
        <f t="shared" si="3"/>
        <v>100</v>
      </c>
    </row>
    <row r="193" spans="1:8" ht="30">
      <c r="A193" s="187" t="s">
        <v>26</v>
      </c>
      <c r="B193" s="204" t="s">
        <v>289</v>
      </c>
      <c r="C193" s="205" t="s">
        <v>6</v>
      </c>
      <c r="D193" s="195"/>
      <c r="E193" s="195">
        <v>40000</v>
      </c>
      <c r="F193" s="195">
        <v>40000</v>
      </c>
      <c r="G193" s="195">
        <v>40000</v>
      </c>
      <c r="H193" s="191">
        <f t="shared" si="3"/>
        <v>100</v>
      </c>
    </row>
    <row r="194" spans="1:8" ht="15">
      <c r="A194" s="187" t="s">
        <v>26</v>
      </c>
      <c r="B194" s="204" t="s">
        <v>290</v>
      </c>
      <c r="C194" s="205" t="s">
        <v>3</v>
      </c>
      <c r="D194" s="195"/>
      <c r="E194" s="195">
        <v>1700</v>
      </c>
      <c r="F194" s="195">
        <v>1700</v>
      </c>
      <c r="G194" s="195"/>
      <c r="H194" s="191">
        <f t="shared" si="3"/>
        <v>100</v>
      </c>
    </row>
    <row r="195" spans="1:8" ht="15">
      <c r="A195" s="187" t="s">
        <v>26</v>
      </c>
      <c r="B195" s="206" t="s">
        <v>291</v>
      </c>
      <c r="C195" s="207" t="s">
        <v>3</v>
      </c>
      <c r="D195" s="208"/>
      <c r="E195" s="208">
        <v>2000</v>
      </c>
      <c r="F195" s="208"/>
      <c r="G195" s="208"/>
      <c r="H195" s="209">
        <f t="shared" si="3"/>
        <v>0</v>
      </c>
    </row>
    <row r="196" spans="1:8" ht="15">
      <c r="A196" s="187"/>
      <c r="B196" s="246" t="s">
        <v>292</v>
      </c>
      <c r="C196" s="213"/>
      <c r="D196" s="214"/>
      <c r="E196" s="247">
        <f>SUM(E197)</f>
        <v>10000</v>
      </c>
      <c r="F196" s="247">
        <f>SUM(F197)</f>
        <v>10000</v>
      </c>
      <c r="G196" s="247">
        <f>SUM(G197)</f>
        <v>0</v>
      </c>
      <c r="H196" s="191">
        <f t="shared" si="3"/>
        <v>100</v>
      </c>
    </row>
    <row r="197" spans="1:8" ht="30">
      <c r="A197" s="187" t="s">
        <v>16</v>
      </c>
      <c r="B197" s="248" t="s">
        <v>293</v>
      </c>
      <c r="C197" s="213" t="s">
        <v>6</v>
      </c>
      <c r="D197" s="214"/>
      <c r="E197" s="214">
        <v>10000</v>
      </c>
      <c r="F197" s="214">
        <v>10000</v>
      </c>
      <c r="G197" s="214"/>
      <c r="H197" s="191">
        <f t="shared" si="3"/>
        <v>100</v>
      </c>
    </row>
    <row r="198" spans="1:8" ht="15">
      <c r="A198" s="187"/>
      <c r="B198" s="202" t="s">
        <v>294</v>
      </c>
      <c r="C198" s="205"/>
      <c r="D198" s="195"/>
      <c r="E198" s="190">
        <v>9000</v>
      </c>
      <c r="F198" s="190">
        <f>SUM(F199)</f>
        <v>9000</v>
      </c>
      <c r="G198" s="190">
        <f>SUM(G199)</f>
        <v>0</v>
      </c>
      <c r="H198" s="191">
        <f t="shared" si="3"/>
        <v>100</v>
      </c>
    </row>
    <row r="199" spans="1:8" ht="15">
      <c r="A199" s="187" t="s">
        <v>20</v>
      </c>
      <c r="B199" s="204" t="s">
        <v>295</v>
      </c>
      <c r="C199" s="205" t="s">
        <v>3</v>
      </c>
      <c r="D199" s="195"/>
      <c r="E199" s="195">
        <v>9000</v>
      </c>
      <c r="F199" s="195">
        <v>9000</v>
      </c>
      <c r="G199" s="195"/>
      <c r="H199" s="191">
        <f t="shared" si="3"/>
        <v>100</v>
      </c>
    </row>
    <row r="200" spans="1:8" ht="15">
      <c r="A200" s="187"/>
      <c r="B200" s="188" t="s">
        <v>120</v>
      </c>
      <c r="C200" s="189"/>
      <c r="D200" s="190">
        <f>SUM(D201,D221,D229,D238,D243)</f>
        <v>11211000</v>
      </c>
      <c r="E200" s="190">
        <f>SUM(E201,E221,E229,E238,E243)</f>
        <v>12818012</v>
      </c>
      <c r="F200" s="190">
        <f>SUM(F201,F221,F229,F238,F243)</f>
        <v>8836550.77</v>
      </c>
      <c r="G200" s="190">
        <f>SUM(G201,G221,G229,G238,G243)</f>
        <v>2163986.93</v>
      </c>
      <c r="H200" s="191">
        <f t="shared" si="3"/>
        <v>68.9</v>
      </c>
    </row>
    <row r="201" spans="1:8" ht="15">
      <c r="A201" s="187"/>
      <c r="B201" s="198" t="s">
        <v>121</v>
      </c>
      <c r="C201" s="189"/>
      <c r="D201" s="192">
        <f>SUM(D202:D219)</f>
        <v>1525000</v>
      </c>
      <c r="E201" s="192">
        <f>SUM(E202,E203,E204,E219,E220)</f>
        <v>1956356</v>
      </c>
      <c r="F201" s="192">
        <f>SUM(F202,F203,F204,F219,F220)</f>
        <v>1191206.41</v>
      </c>
      <c r="G201" s="192">
        <f>SUM(G202,G203,G204,G219,G220)</f>
        <v>270814.21</v>
      </c>
      <c r="H201" s="191">
        <f t="shared" si="3"/>
        <v>60.9</v>
      </c>
    </row>
    <row r="202" spans="1:8" ht="15">
      <c r="A202" s="187" t="s">
        <v>20</v>
      </c>
      <c r="B202" s="193" t="s">
        <v>122</v>
      </c>
      <c r="C202" s="194" t="s">
        <v>3</v>
      </c>
      <c r="D202" s="195">
        <v>270000</v>
      </c>
      <c r="E202" s="195">
        <v>270000</v>
      </c>
      <c r="F202" s="195">
        <v>89545.2</v>
      </c>
      <c r="G202" s="195">
        <v>11055.6</v>
      </c>
      <c r="H202" s="191">
        <f t="shared" si="3"/>
        <v>33.2</v>
      </c>
    </row>
    <row r="203" spans="1:8" ht="15">
      <c r="A203" s="187" t="s">
        <v>20</v>
      </c>
      <c r="B203" s="236" t="s">
        <v>122</v>
      </c>
      <c r="C203" s="237" t="s">
        <v>3</v>
      </c>
      <c r="D203" s="208">
        <v>250000</v>
      </c>
      <c r="E203" s="208">
        <v>250000</v>
      </c>
      <c r="F203" s="195"/>
      <c r="G203" s="195"/>
      <c r="H203" s="191">
        <f t="shared" si="3"/>
        <v>0</v>
      </c>
    </row>
    <row r="204" spans="1:8" ht="15">
      <c r="A204" s="187" t="s">
        <v>20</v>
      </c>
      <c r="B204" s="193" t="s">
        <v>123</v>
      </c>
      <c r="C204" s="194" t="s">
        <v>3</v>
      </c>
      <c r="D204" s="195">
        <v>905000</v>
      </c>
      <c r="E204" s="195">
        <f>SUM(E205:E218)</f>
        <v>1336356</v>
      </c>
      <c r="F204" s="195">
        <f>SUM(F205:F218)</f>
        <v>1064304.01</v>
      </c>
      <c r="G204" s="195">
        <f>SUM(G205:G218)</f>
        <v>238443.3</v>
      </c>
      <c r="H204" s="191">
        <f t="shared" si="3"/>
        <v>79.6</v>
      </c>
    </row>
    <row r="205" spans="1:8" ht="15">
      <c r="A205" s="187"/>
      <c r="B205" s="249" t="s">
        <v>124</v>
      </c>
      <c r="C205" s="194"/>
      <c r="D205" s="195"/>
      <c r="E205" s="195">
        <f>60000+10000</f>
        <v>70000</v>
      </c>
      <c r="F205" s="195">
        <v>35808</v>
      </c>
      <c r="G205" s="195"/>
      <c r="H205" s="191">
        <f t="shared" si="3"/>
        <v>51.2</v>
      </c>
    </row>
    <row r="206" spans="1:8" ht="15">
      <c r="A206" s="187"/>
      <c r="B206" s="250" t="s">
        <v>124</v>
      </c>
      <c r="C206" s="237"/>
      <c r="D206" s="208"/>
      <c r="E206" s="208">
        <v>31956</v>
      </c>
      <c r="F206" s="208">
        <v>28760</v>
      </c>
      <c r="G206" s="208">
        <v>28760</v>
      </c>
      <c r="H206" s="209">
        <f t="shared" si="3"/>
        <v>90</v>
      </c>
    </row>
    <row r="207" spans="1:8" ht="15">
      <c r="A207" s="187"/>
      <c r="B207" s="249" t="s">
        <v>125</v>
      </c>
      <c r="C207" s="194"/>
      <c r="D207" s="195"/>
      <c r="E207" s="195">
        <v>715000</v>
      </c>
      <c r="F207" s="195">
        <v>563761.81</v>
      </c>
      <c r="G207" s="195">
        <v>2796</v>
      </c>
      <c r="H207" s="191">
        <f t="shared" si="3"/>
        <v>78.8</v>
      </c>
    </row>
    <row r="208" spans="1:8" ht="15">
      <c r="A208" s="187"/>
      <c r="B208" s="250" t="s">
        <v>296</v>
      </c>
      <c r="C208" s="237"/>
      <c r="D208" s="208"/>
      <c r="E208" s="208">
        <v>37000</v>
      </c>
      <c r="F208" s="208">
        <v>35925.84</v>
      </c>
      <c r="G208" s="208"/>
      <c r="H208" s="209">
        <f t="shared" si="3"/>
        <v>97.1</v>
      </c>
    </row>
    <row r="209" spans="1:8" ht="30">
      <c r="A209" s="187"/>
      <c r="B209" s="249" t="s">
        <v>297</v>
      </c>
      <c r="C209" s="194"/>
      <c r="D209" s="195"/>
      <c r="E209" s="195">
        <v>105000</v>
      </c>
      <c r="F209" s="195">
        <v>26380.06</v>
      </c>
      <c r="G209" s="195">
        <v>24940.06</v>
      </c>
      <c r="H209" s="191">
        <f t="shared" si="3"/>
        <v>25.1</v>
      </c>
    </row>
    <row r="210" spans="1:8" ht="15">
      <c r="A210" s="187"/>
      <c r="B210" s="249" t="s">
        <v>337</v>
      </c>
      <c r="C210" s="194"/>
      <c r="D210" s="195"/>
      <c r="E210" s="195">
        <v>100000</v>
      </c>
      <c r="F210" s="195">
        <v>99184.46</v>
      </c>
      <c r="G210" s="195">
        <v>27006</v>
      </c>
      <c r="H210" s="191">
        <f aca="true" t="shared" si="4" ref="H210:H218">ROUND(F210/E210*100,1)</f>
        <v>99.2</v>
      </c>
    </row>
    <row r="211" spans="1:8" ht="15">
      <c r="A211" s="187"/>
      <c r="B211" s="249" t="s">
        <v>126</v>
      </c>
      <c r="C211" s="194"/>
      <c r="D211" s="195"/>
      <c r="E211" s="195">
        <v>110000</v>
      </c>
      <c r="F211" s="195">
        <v>88432.2</v>
      </c>
      <c r="G211" s="195">
        <v>24706.2</v>
      </c>
      <c r="H211" s="191">
        <f t="shared" si="4"/>
        <v>80.4</v>
      </c>
    </row>
    <row r="212" spans="1:8" ht="15">
      <c r="A212" s="187"/>
      <c r="B212" s="249" t="s">
        <v>298</v>
      </c>
      <c r="C212" s="194"/>
      <c r="D212" s="195"/>
      <c r="E212" s="195">
        <v>90000</v>
      </c>
      <c r="F212" s="195">
        <v>90100.8</v>
      </c>
      <c r="G212" s="195">
        <v>48565.2</v>
      </c>
      <c r="H212" s="191">
        <f t="shared" si="4"/>
        <v>100.1</v>
      </c>
    </row>
    <row r="213" spans="1:8" ht="15">
      <c r="A213" s="187"/>
      <c r="B213" s="249" t="s">
        <v>127</v>
      </c>
      <c r="C213" s="194"/>
      <c r="D213" s="195"/>
      <c r="E213" s="195">
        <v>20000</v>
      </c>
      <c r="F213" s="195">
        <v>1644</v>
      </c>
      <c r="G213" s="195"/>
      <c r="H213" s="191">
        <f t="shared" si="4"/>
        <v>8.2</v>
      </c>
    </row>
    <row r="214" spans="1:8" ht="15">
      <c r="A214" s="187"/>
      <c r="B214" s="249" t="s">
        <v>299</v>
      </c>
      <c r="C214" s="194"/>
      <c r="D214" s="195"/>
      <c r="E214" s="195">
        <v>15000</v>
      </c>
      <c r="F214" s="195"/>
      <c r="G214" s="195"/>
      <c r="H214" s="191">
        <f t="shared" si="4"/>
        <v>0</v>
      </c>
    </row>
    <row r="215" spans="1:8" ht="30">
      <c r="A215" s="187"/>
      <c r="B215" s="250" t="s">
        <v>300</v>
      </c>
      <c r="C215" s="237"/>
      <c r="D215" s="208"/>
      <c r="E215" s="208">
        <v>15000</v>
      </c>
      <c r="F215" s="208">
        <v>94293.84</v>
      </c>
      <c r="G215" s="208">
        <v>81669.84</v>
      </c>
      <c r="H215" s="209">
        <f t="shared" si="4"/>
        <v>628.6</v>
      </c>
    </row>
    <row r="216" spans="1:8" ht="30">
      <c r="A216" s="187"/>
      <c r="B216" s="250" t="s">
        <v>301</v>
      </c>
      <c r="C216" s="237"/>
      <c r="D216" s="208"/>
      <c r="E216" s="208">
        <v>10000</v>
      </c>
      <c r="F216" s="208"/>
      <c r="G216" s="208"/>
      <c r="H216" s="209">
        <f t="shared" si="4"/>
        <v>0</v>
      </c>
    </row>
    <row r="217" spans="1:8" ht="15">
      <c r="A217" s="187"/>
      <c r="B217" s="25" t="s">
        <v>321</v>
      </c>
      <c r="C217" s="194"/>
      <c r="D217" s="195"/>
      <c r="E217" s="195"/>
      <c r="F217" s="195">
        <v>13</v>
      </c>
      <c r="G217" s="195"/>
      <c r="H217" s="191"/>
    </row>
    <row r="218" spans="1:8" ht="15">
      <c r="A218" s="187"/>
      <c r="B218" s="193" t="s">
        <v>322</v>
      </c>
      <c r="C218" s="194" t="s">
        <v>3</v>
      </c>
      <c r="D218" s="195"/>
      <c r="E218" s="195">
        <v>17400</v>
      </c>
      <c r="F218" s="195"/>
      <c r="G218" s="195"/>
      <c r="H218" s="191">
        <f t="shared" si="4"/>
        <v>0</v>
      </c>
    </row>
    <row r="219" spans="1:8" ht="15">
      <c r="A219" s="187"/>
      <c r="B219" s="193" t="s">
        <v>338</v>
      </c>
      <c r="C219" s="194" t="s">
        <v>3</v>
      </c>
      <c r="D219" s="195">
        <v>100000</v>
      </c>
      <c r="E219" s="195">
        <v>30000</v>
      </c>
      <c r="F219" s="195"/>
      <c r="G219" s="195"/>
      <c r="H219" s="191">
        <f>ROUND(F219/E219*100,1)</f>
        <v>0</v>
      </c>
    </row>
    <row r="220" spans="1:8" ht="15">
      <c r="A220" s="187"/>
      <c r="B220" s="193" t="s">
        <v>339</v>
      </c>
      <c r="C220" s="194" t="s">
        <v>3</v>
      </c>
      <c r="D220" s="195"/>
      <c r="E220" s="195">
        <v>70000</v>
      </c>
      <c r="F220" s="195">
        <v>37357.2</v>
      </c>
      <c r="G220" s="195">
        <v>21315.31</v>
      </c>
      <c r="H220" s="191">
        <f>ROUND(F220/E220*100,1)</f>
        <v>53.4</v>
      </c>
    </row>
    <row r="221" spans="1:8" ht="15">
      <c r="A221" s="187"/>
      <c r="B221" s="198" t="s">
        <v>128</v>
      </c>
      <c r="C221" s="189"/>
      <c r="D221" s="192">
        <f>SUM(D222)</f>
        <v>1189000</v>
      </c>
      <c r="E221" s="192">
        <f>SUM(E222)</f>
        <v>1440934</v>
      </c>
      <c r="F221" s="192">
        <f>SUM(F222)</f>
        <v>917441.18</v>
      </c>
      <c r="G221" s="192">
        <f>SUM(G222)</f>
        <v>444765.06000000006</v>
      </c>
      <c r="H221" s="191">
        <f aca="true" t="shared" si="5" ref="H221:H261">ROUND(F221/E221*100,1)</f>
        <v>63.7</v>
      </c>
    </row>
    <row r="222" spans="1:8" ht="15">
      <c r="A222" s="187" t="s">
        <v>20</v>
      </c>
      <c r="B222" s="193" t="s">
        <v>129</v>
      </c>
      <c r="C222" s="194" t="s">
        <v>3</v>
      </c>
      <c r="D222" s="195">
        <v>1189000</v>
      </c>
      <c r="E222" s="195">
        <f>SUM(E223:E228)</f>
        <v>1440934</v>
      </c>
      <c r="F222" s="195">
        <f>SUM(F223,F224,F225,F226,F227,F228)</f>
        <v>917441.18</v>
      </c>
      <c r="G222" s="195">
        <f>SUM(G223,G224,G225,G226,G227,G228)</f>
        <v>444765.06000000006</v>
      </c>
      <c r="H222" s="191">
        <f t="shared" si="5"/>
        <v>63.7</v>
      </c>
    </row>
    <row r="223" spans="1:8" ht="15">
      <c r="A223" s="187"/>
      <c r="B223" s="249" t="s">
        <v>130</v>
      </c>
      <c r="C223" s="194"/>
      <c r="D223" s="195"/>
      <c r="E223" s="195">
        <v>350000</v>
      </c>
      <c r="F223" s="195">
        <v>282689.88</v>
      </c>
      <c r="G223" s="195">
        <f>128403.72+9848.16</f>
        <v>138251.88</v>
      </c>
      <c r="H223" s="191">
        <f t="shared" si="5"/>
        <v>80.8</v>
      </c>
    </row>
    <row r="224" spans="1:8" ht="15">
      <c r="A224" s="187"/>
      <c r="B224" s="249" t="s">
        <v>131</v>
      </c>
      <c r="C224" s="194"/>
      <c r="D224" s="195"/>
      <c r="E224" s="195">
        <f>110000+55000</f>
        <v>165000</v>
      </c>
      <c r="F224" s="195">
        <v>157062.81</v>
      </c>
      <c r="G224" s="195">
        <v>12623.26</v>
      </c>
      <c r="H224" s="191">
        <f t="shared" si="5"/>
        <v>95.2</v>
      </c>
    </row>
    <row r="225" spans="1:8" ht="15">
      <c r="A225" s="187"/>
      <c r="B225" s="249" t="s">
        <v>132</v>
      </c>
      <c r="C225" s="194"/>
      <c r="D225" s="195"/>
      <c r="E225" s="195">
        <f>475000+34700</f>
        <v>509700</v>
      </c>
      <c r="F225" s="195">
        <v>140839.45</v>
      </c>
      <c r="G225" s="195">
        <v>116119.45</v>
      </c>
      <c r="H225" s="191">
        <f t="shared" si="5"/>
        <v>27.6</v>
      </c>
    </row>
    <row r="226" spans="1:8" ht="15">
      <c r="A226" s="187"/>
      <c r="B226" s="250" t="s">
        <v>132</v>
      </c>
      <c r="C226" s="237"/>
      <c r="D226" s="208"/>
      <c r="E226" s="208">
        <v>3195</v>
      </c>
      <c r="F226" s="195">
        <v>3096</v>
      </c>
      <c r="G226" s="195"/>
      <c r="H226" s="191">
        <f t="shared" si="5"/>
        <v>96.9</v>
      </c>
    </row>
    <row r="227" spans="1:8" ht="15">
      <c r="A227" s="187"/>
      <c r="B227" s="249" t="s">
        <v>133</v>
      </c>
      <c r="C227" s="194"/>
      <c r="D227" s="195"/>
      <c r="E227" s="195">
        <f>200000+159039</f>
        <v>359039</v>
      </c>
      <c r="F227" s="195">
        <v>272340.16</v>
      </c>
      <c r="G227" s="195">
        <f>143344.51+5637</f>
        <v>148981.51</v>
      </c>
      <c r="H227" s="191">
        <f t="shared" si="5"/>
        <v>75.9</v>
      </c>
    </row>
    <row r="228" spans="1:8" ht="15">
      <c r="A228" s="187"/>
      <c r="B228" s="249" t="s">
        <v>134</v>
      </c>
      <c r="C228" s="194"/>
      <c r="D228" s="195"/>
      <c r="E228" s="195">
        <v>54000</v>
      </c>
      <c r="F228" s="195">
        <v>61412.88</v>
      </c>
      <c r="G228" s="195">
        <v>28788.96</v>
      </c>
      <c r="H228" s="191">
        <f t="shared" si="5"/>
        <v>113.7</v>
      </c>
    </row>
    <row r="229" spans="1:8" ht="15">
      <c r="A229" s="187"/>
      <c r="B229" s="251" t="s">
        <v>135</v>
      </c>
      <c r="C229" s="252"/>
      <c r="D229" s="253">
        <f>SUM(D230:D237)</f>
        <v>8199000</v>
      </c>
      <c r="E229" s="253">
        <f>SUM(E230:E237)</f>
        <v>8280236</v>
      </c>
      <c r="F229" s="253">
        <f>SUM(F230:F237)</f>
        <v>5835874.76</v>
      </c>
      <c r="G229" s="253">
        <f>SUM(G230:G237)</f>
        <v>1252147.73</v>
      </c>
      <c r="H229" s="191">
        <f t="shared" si="5"/>
        <v>70.5</v>
      </c>
    </row>
    <row r="230" spans="1:8" ht="15">
      <c r="A230" s="187" t="s">
        <v>20</v>
      </c>
      <c r="B230" s="254" t="s">
        <v>136</v>
      </c>
      <c r="C230" s="255" t="s">
        <v>3</v>
      </c>
      <c r="D230" s="256">
        <f>60000</f>
        <v>60000</v>
      </c>
      <c r="E230" s="256">
        <f>60000+8000</f>
        <v>68000</v>
      </c>
      <c r="F230" s="195">
        <v>16695</v>
      </c>
      <c r="G230" s="229">
        <v>11565</v>
      </c>
      <c r="H230" s="191">
        <f t="shared" si="5"/>
        <v>24.6</v>
      </c>
    </row>
    <row r="231" spans="1:8" ht="15">
      <c r="A231" s="187" t="s">
        <v>20</v>
      </c>
      <c r="B231" s="254" t="s">
        <v>302</v>
      </c>
      <c r="C231" s="255" t="s">
        <v>3</v>
      </c>
      <c r="D231" s="256"/>
      <c r="E231" s="256">
        <v>52000</v>
      </c>
      <c r="F231" s="195">
        <v>36224.1</v>
      </c>
      <c r="G231" s="229"/>
      <c r="H231" s="191">
        <f t="shared" si="5"/>
        <v>69.7</v>
      </c>
    </row>
    <row r="232" spans="1:8" ht="15">
      <c r="A232" s="187" t="s">
        <v>20</v>
      </c>
      <c r="B232" s="254" t="s">
        <v>303</v>
      </c>
      <c r="C232" s="255" t="s">
        <v>3</v>
      </c>
      <c r="D232" s="256"/>
      <c r="E232" s="256">
        <v>30000</v>
      </c>
      <c r="F232" s="195"/>
      <c r="G232" s="229"/>
      <c r="H232" s="191">
        <f t="shared" si="5"/>
        <v>0</v>
      </c>
    </row>
    <row r="233" spans="1:8" ht="15">
      <c r="A233" s="187" t="s">
        <v>20</v>
      </c>
      <c r="B233" s="257" t="s">
        <v>137</v>
      </c>
      <c r="C233" s="258" t="s">
        <v>3</v>
      </c>
      <c r="D233" s="259"/>
      <c r="E233" s="259">
        <v>9960</v>
      </c>
      <c r="F233" s="208"/>
      <c r="G233" s="271"/>
      <c r="H233" s="209">
        <f t="shared" si="5"/>
        <v>0</v>
      </c>
    </row>
    <row r="234" spans="1:8" ht="30">
      <c r="A234" s="187" t="s">
        <v>20</v>
      </c>
      <c r="B234" s="254" t="s">
        <v>138</v>
      </c>
      <c r="C234" s="255" t="s">
        <v>3</v>
      </c>
      <c r="D234" s="256">
        <v>1969000</v>
      </c>
      <c r="E234" s="256">
        <f>1969000-37732</f>
        <v>1931268</v>
      </c>
      <c r="F234" s="195">
        <v>1476641.81</v>
      </c>
      <c r="G234" s="195">
        <v>248435.29</v>
      </c>
      <c r="H234" s="191">
        <f t="shared" si="5"/>
        <v>76.5</v>
      </c>
    </row>
    <row r="235" spans="1:8" ht="15">
      <c r="A235" s="187" t="s">
        <v>20</v>
      </c>
      <c r="B235" s="254" t="s">
        <v>323</v>
      </c>
      <c r="C235" s="255" t="s">
        <v>3</v>
      </c>
      <c r="D235" s="256"/>
      <c r="E235" s="256">
        <v>10008</v>
      </c>
      <c r="F235" s="195">
        <v>10007.52</v>
      </c>
      <c r="G235" s="195">
        <v>10007.52</v>
      </c>
      <c r="H235" s="191">
        <f t="shared" si="5"/>
        <v>100</v>
      </c>
    </row>
    <row r="236" spans="1:8" ht="15">
      <c r="A236" s="187" t="s">
        <v>14</v>
      </c>
      <c r="B236" s="254" t="s">
        <v>304</v>
      </c>
      <c r="C236" s="255" t="s">
        <v>6</v>
      </c>
      <c r="D236" s="256"/>
      <c r="E236" s="256">
        <f>9000</f>
        <v>9000</v>
      </c>
      <c r="F236" s="195">
        <v>9000</v>
      </c>
      <c r="G236" s="195"/>
      <c r="H236" s="191">
        <f t="shared" si="5"/>
        <v>100</v>
      </c>
    </row>
    <row r="237" spans="1:8" ht="30">
      <c r="A237" s="187" t="s">
        <v>20</v>
      </c>
      <c r="B237" s="257" t="s">
        <v>138</v>
      </c>
      <c r="C237" s="258" t="s">
        <v>3</v>
      </c>
      <c r="D237" s="208">
        <v>6170000</v>
      </c>
      <c r="E237" s="208">
        <v>6170000</v>
      </c>
      <c r="F237" s="208">
        <f>4286581.53+724.8</f>
        <v>4287306.33</v>
      </c>
      <c r="G237" s="208">
        <f>981415.12+724.8</f>
        <v>982139.92</v>
      </c>
      <c r="H237" s="209">
        <f t="shared" si="5"/>
        <v>69.5</v>
      </c>
    </row>
    <row r="238" spans="1:8" ht="15">
      <c r="A238" s="187"/>
      <c r="B238" s="193" t="s">
        <v>139</v>
      </c>
      <c r="C238" s="255"/>
      <c r="D238" s="192">
        <f>SUM(D239)</f>
        <v>8000</v>
      </c>
      <c r="E238" s="192">
        <f>SUM(E239:E242)</f>
        <v>407112</v>
      </c>
      <c r="F238" s="192">
        <f>SUM(F239:F242)</f>
        <v>422786.4</v>
      </c>
      <c r="G238" s="192">
        <f>SUM(G239:G242)</f>
        <v>18625.24</v>
      </c>
      <c r="H238" s="191">
        <f t="shared" si="5"/>
        <v>103.9</v>
      </c>
    </row>
    <row r="239" spans="1:8" ht="15">
      <c r="A239" s="187" t="s">
        <v>14</v>
      </c>
      <c r="B239" s="236" t="s">
        <v>140</v>
      </c>
      <c r="C239" s="258" t="s">
        <v>3</v>
      </c>
      <c r="D239" s="208">
        <v>8000</v>
      </c>
      <c r="E239" s="208">
        <f>40000+58981</f>
        <v>98981</v>
      </c>
      <c r="F239" s="208">
        <f>40827.1+42132.1</f>
        <v>82959.2</v>
      </c>
      <c r="G239" s="208">
        <v>18625.24</v>
      </c>
      <c r="H239" s="209">
        <f t="shared" si="5"/>
        <v>83.8</v>
      </c>
    </row>
    <row r="240" spans="1:8" ht="22.5" customHeight="1">
      <c r="A240" s="187" t="s">
        <v>14</v>
      </c>
      <c r="B240" s="236" t="s">
        <v>340</v>
      </c>
      <c r="C240" s="258" t="s">
        <v>3</v>
      </c>
      <c r="D240" s="208"/>
      <c r="E240" s="208">
        <v>231724</v>
      </c>
      <c r="F240" s="208">
        <v>207559.5</v>
      </c>
      <c r="G240" s="208"/>
      <c r="H240" s="209">
        <f t="shared" si="5"/>
        <v>89.6</v>
      </c>
    </row>
    <row r="241" spans="1:8" ht="15">
      <c r="A241" s="187" t="s">
        <v>14</v>
      </c>
      <c r="B241" s="236" t="s">
        <v>305</v>
      </c>
      <c r="C241" s="258" t="s">
        <v>3</v>
      </c>
      <c r="D241" s="208"/>
      <c r="E241" s="208">
        <f>78599-2192</f>
        <v>76407</v>
      </c>
      <c r="F241" s="208">
        <v>33267.7</v>
      </c>
      <c r="G241" s="208"/>
      <c r="H241" s="209">
        <f t="shared" si="5"/>
        <v>43.5</v>
      </c>
    </row>
    <row r="242" spans="1:8" ht="15">
      <c r="A242" s="187" t="s">
        <v>14</v>
      </c>
      <c r="B242" s="236" t="s">
        <v>341</v>
      </c>
      <c r="C242" s="258" t="s">
        <v>3</v>
      </c>
      <c r="D242" s="208"/>
      <c r="E242" s="208"/>
      <c r="F242" s="208">
        <v>99000</v>
      </c>
      <c r="G242" s="208"/>
      <c r="H242" s="209"/>
    </row>
    <row r="243" spans="1:8" ht="15">
      <c r="A243" s="187"/>
      <c r="B243" s="198" t="s">
        <v>141</v>
      </c>
      <c r="C243" s="189"/>
      <c r="D243" s="192">
        <f>SUM(D244:D249)</f>
        <v>290000</v>
      </c>
      <c r="E243" s="192">
        <f>SUM(E244:E250)</f>
        <v>733374</v>
      </c>
      <c r="F243" s="192">
        <f>SUM(F244:F250)</f>
        <v>469242.01999999996</v>
      </c>
      <c r="G243" s="192">
        <f>SUM(G244:G250)</f>
        <v>177634.69</v>
      </c>
      <c r="H243" s="191">
        <f t="shared" si="5"/>
        <v>64</v>
      </c>
    </row>
    <row r="244" spans="1:8" ht="15">
      <c r="A244" s="17" t="s">
        <v>20</v>
      </c>
      <c r="B244" s="193" t="s">
        <v>142</v>
      </c>
      <c r="C244" s="194" t="s">
        <v>3</v>
      </c>
      <c r="D244" s="195">
        <v>200000</v>
      </c>
      <c r="E244" s="195">
        <f>200000+167574+100000</f>
        <v>467574</v>
      </c>
      <c r="F244" s="195">
        <v>299899.69</v>
      </c>
      <c r="G244" s="195">
        <f>99836.3+2385.81</f>
        <v>102222.11</v>
      </c>
      <c r="H244" s="191">
        <f t="shared" si="5"/>
        <v>64.1</v>
      </c>
    </row>
    <row r="245" spans="1:8" ht="15">
      <c r="A245" s="187" t="s">
        <v>20</v>
      </c>
      <c r="B245" s="236" t="s">
        <v>142</v>
      </c>
      <c r="C245" s="194" t="s">
        <v>3</v>
      </c>
      <c r="D245" s="208"/>
      <c r="E245" s="208">
        <v>24800</v>
      </c>
      <c r="F245" s="208"/>
      <c r="G245" s="208"/>
      <c r="H245" s="209">
        <f t="shared" si="5"/>
        <v>0</v>
      </c>
    </row>
    <row r="246" spans="1:8" ht="15">
      <c r="A246" s="187" t="s">
        <v>20</v>
      </c>
      <c r="B246" s="193" t="s">
        <v>143</v>
      </c>
      <c r="C246" s="194" t="s">
        <v>3</v>
      </c>
      <c r="D246" s="195">
        <v>10000</v>
      </c>
      <c r="E246" s="195">
        <v>10000</v>
      </c>
      <c r="F246" s="195"/>
      <c r="G246" s="195"/>
      <c r="H246" s="191">
        <f t="shared" si="5"/>
        <v>0</v>
      </c>
    </row>
    <row r="247" spans="1:8" ht="15">
      <c r="A247" s="187" t="s">
        <v>20</v>
      </c>
      <c r="B247" s="193" t="s">
        <v>306</v>
      </c>
      <c r="C247" s="194" t="s">
        <v>3</v>
      </c>
      <c r="D247" s="195"/>
      <c r="E247" s="195">
        <v>100000</v>
      </c>
      <c r="F247" s="195">
        <v>81658.7</v>
      </c>
      <c r="G247" s="195">
        <v>65512.58</v>
      </c>
      <c r="H247" s="191">
        <f t="shared" si="5"/>
        <v>81.7</v>
      </c>
    </row>
    <row r="248" spans="1:8" ht="15">
      <c r="A248" s="187" t="s">
        <v>20</v>
      </c>
      <c r="B248" s="193" t="s">
        <v>307</v>
      </c>
      <c r="C248" s="194" t="s">
        <v>3</v>
      </c>
      <c r="D248" s="195"/>
      <c r="E248" s="195">
        <v>35000</v>
      </c>
      <c r="F248" s="195">
        <v>4321.8</v>
      </c>
      <c r="G248" s="195"/>
      <c r="H248" s="191">
        <f t="shared" si="5"/>
        <v>12.3</v>
      </c>
    </row>
    <row r="249" spans="1:8" ht="30">
      <c r="A249" s="187" t="s">
        <v>20</v>
      </c>
      <c r="B249" s="193" t="s">
        <v>144</v>
      </c>
      <c r="C249" s="194" t="s">
        <v>3</v>
      </c>
      <c r="D249" s="195">
        <v>80000</v>
      </c>
      <c r="E249" s="195">
        <f>80000+16000</f>
        <v>96000</v>
      </c>
      <c r="F249" s="195">
        <v>75174.03</v>
      </c>
      <c r="G249" s="195">
        <f>9060+840</f>
        <v>9900</v>
      </c>
      <c r="H249" s="191">
        <f t="shared" si="5"/>
        <v>78.3</v>
      </c>
    </row>
    <row r="250" spans="1:8" ht="15">
      <c r="A250" s="230" t="s">
        <v>14</v>
      </c>
      <c r="B250" s="236" t="s">
        <v>145</v>
      </c>
      <c r="C250" s="237" t="s">
        <v>3</v>
      </c>
      <c r="D250" s="208"/>
      <c r="E250" s="208"/>
      <c r="F250" s="208">
        <v>8187.8</v>
      </c>
      <c r="G250" s="208"/>
      <c r="H250" s="209"/>
    </row>
    <row r="251" spans="1:8" ht="15">
      <c r="A251" s="187"/>
      <c r="B251" s="188" t="s">
        <v>146</v>
      </c>
      <c r="C251" s="189"/>
      <c r="D251" s="190">
        <f>SUM(D254,D257,D260)</f>
        <v>512200</v>
      </c>
      <c r="E251" s="190">
        <f>SUM(E254,E257,E260,E252)</f>
        <v>540200</v>
      </c>
      <c r="F251" s="190">
        <f>SUM(F254,F257,F260,F252)</f>
        <v>513018.02</v>
      </c>
      <c r="G251" s="190">
        <f>SUM(G254,G257,G260,G252)</f>
        <v>23905.3</v>
      </c>
      <c r="H251" s="191">
        <f t="shared" si="5"/>
        <v>95</v>
      </c>
    </row>
    <row r="252" spans="1:8" ht="30">
      <c r="A252" s="187"/>
      <c r="B252" s="198" t="s">
        <v>308</v>
      </c>
      <c r="C252" s="189"/>
      <c r="D252" s="190"/>
      <c r="E252" s="190">
        <f>SUM(E253)</f>
        <v>10000</v>
      </c>
      <c r="F252" s="190">
        <f>SUM(F253)</f>
        <v>0</v>
      </c>
      <c r="G252" s="190">
        <f>SUM(G253)</f>
        <v>0</v>
      </c>
      <c r="H252" s="190">
        <f>SUM(H253)</f>
        <v>0</v>
      </c>
    </row>
    <row r="253" spans="1:8" ht="30">
      <c r="A253" s="187" t="s">
        <v>20</v>
      </c>
      <c r="B253" s="193" t="s">
        <v>309</v>
      </c>
      <c r="C253" s="194" t="s">
        <v>3</v>
      </c>
      <c r="D253" s="190"/>
      <c r="E253" s="195">
        <v>10000</v>
      </c>
      <c r="F253" s="190"/>
      <c r="G253" s="190"/>
      <c r="H253" s="191"/>
    </row>
    <row r="254" spans="1:8" ht="15">
      <c r="A254" s="187"/>
      <c r="B254" s="188" t="s">
        <v>147</v>
      </c>
      <c r="C254" s="189"/>
      <c r="D254" s="192">
        <f>SUM(D255:D256)</f>
        <v>22200</v>
      </c>
      <c r="E254" s="192">
        <f>SUM(E255:E256)</f>
        <v>22200</v>
      </c>
      <c r="F254" s="192">
        <f>SUM(F255:F256)</f>
        <v>11868</v>
      </c>
      <c r="G254" s="192">
        <f>SUM(G255:G256)</f>
        <v>0</v>
      </c>
      <c r="H254" s="191">
        <f t="shared" si="5"/>
        <v>53.5</v>
      </c>
    </row>
    <row r="255" spans="1:8" ht="15">
      <c r="A255" s="187" t="s">
        <v>148</v>
      </c>
      <c r="B255" s="193" t="s">
        <v>149</v>
      </c>
      <c r="C255" s="194" t="s">
        <v>3</v>
      </c>
      <c r="D255" s="195">
        <v>12700</v>
      </c>
      <c r="E255" s="195">
        <v>12700</v>
      </c>
      <c r="F255" s="195">
        <v>11868</v>
      </c>
      <c r="G255" s="195"/>
      <c r="H255" s="191">
        <f t="shared" si="5"/>
        <v>93.4</v>
      </c>
    </row>
    <row r="256" spans="1:8" ht="15">
      <c r="A256" s="187" t="s">
        <v>148</v>
      </c>
      <c r="B256" s="193" t="s">
        <v>150</v>
      </c>
      <c r="C256" s="194" t="s">
        <v>3</v>
      </c>
      <c r="D256" s="195">
        <v>9500</v>
      </c>
      <c r="E256" s="195">
        <v>9500</v>
      </c>
      <c r="F256" s="195"/>
      <c r="G256" s="195"/>
      <c r="H256" s="191">
        <f t="shared" si="5"/>
        <v>0</v>
      </c>
    </row>
    <row r="257" spans="1:8" ht="15">
      <c r="A257" s="187"/>
      <c r="B257" s="198" t="s">
        <v>151</v>
      </c>
      <c r="C257" s="197"/>
      <c r="D257" s="192">
        <f>SUM(D258:D259)</f>
        <v>50000</v>
      </c>
      <c r="E257" s="192">
        <f>SUM(E258:E259)</f>
        <v>68000</v>
      </c>
      <c r="F257" s="192">
        <f>SUM(F258:F259)</f>
        <v>61150.020000000004</v>
      </c>
      <c r="G257" s="192">
        <f>SUM(G258:G259)</f>
        <v>23905.3</v>
      </c>
      <c r="H257" s="191">
        <f t="shared" si="5"/>
        <v>89.9</v>
      </c>
    </row>
    <row r="258" spans="1:8" ht="15">
      <c r="A258" s="187" t="s">
        <v>20</v>
      </c>
      <c r="B258" s="193" t="s">
        <v>152</v>
      </c>
      <c r="C258" s="194" t="s">
        <v>3</v>
      </c>
      <c r="D258" s="195">
        <v>35000</v>
      </c>
      <c r="E258" s="195">
        <v>35000</v>
      </c>
      <c r="F258" s="195">
        <v>30468</v>
      </c>
      <c r="G258" s="195">
        <f>23328+577.3</f>
        <v>23905.3</v>
      </c>
      <c r="H258" s="191">
        <f t="shared" si="5"/>
        <v>87.1</v>
      </c>
    </row>
    <row r="259" spans="1:8" ht="15">
      <c r="A259" s="187" t="s">
        <v>20</v>
      </c>
      <c r="B259" s="193" t="s">
        <v>153</v>
      </c>
      <c r="C259" s="194" t="s">
        <v>3</v>
      </c>
      <c r="D259" s="195">
        <v>15000</v>
      </c>
      <c r="E259" s="195">
        <f>18000+15000</f>
        <v>33000</v>
      </c>
      <c r="F259" s="195">
        <v>30682.02</v>
      </c>
      <c r="G259" s="195"/>
      <c r="H259" s="191">
        <f t="shared" si="5"/>
        <v>93</v>
      </c>
    </row>
    <row r="260" spans="1:8" ht="15">
      <c r="A260" s="187"/>
      <c r="B260" s="260" t="s">
        <v>154</v>
      </c>
      <c r="C260" s="197"/>
      <c r="D260" s="192">
        <f>SUM(D261:D261)</f>
        <v>440000</v>
      </c>
      <c r="E260" s="192">
        <f>SUM(E261:E261)</f>
        <v>440000</v>
      </c>
      <c r="F260" s="192">
        <f>SUM(F261:F261)</f>
        <v>440000</v>
      </c>
      <c r="G260" s="192">
        <f>SUM(G261:G261)</f>
        <v>0</v>
      </c>
      <c r="H260" s="191">
        <f t="shared" si="5"/>
        <v>100</v>
      </c>
    </row>
    <row r="261" spans="1:8" ht="30">
      <c r="A261" s="187" t="s">
        <v>20</v>
      </c>
      <c r="B261" s="193" t="s">
        <v>155</v>
      </c>
      <c r="C261" s="194" t="s">
        <v>6</v>
      </c>
      <c r="D261" s="195">
        <v>440000</v>
      </c>
      <c r="E261" s="195">
        <v>440000</v>
      </c>
      <c r="F261" s="195">
        <v>440000</v>
      </c>
      <c r="G261" s="195"/>
      <c r="H261" s="191">
        <f t="shared" si="5"/>
        <v>100</v>
      </c>
    </row>
    <row r="262" spans="1:8" ht="15">
      <c r="A262" s="187"/>
      <c r="B262" s="261" t="s">
        <v>156</v>
      </c>
      <c r="C262" s="262"/>
      <c r="D262" s="262"/>
      <c r="E262" s="263"/>
      <c r="F262" s="263"/>
      <c r="G262" s="263"/>
      <c r="H262" s="263"/>
    </row>
  </sheetData>
  <sheetProtection/>
  <mergeCells count="9">
    <mergeCell ref="B3:B4"/>
    <mergeCell ref="D3:E3"/>
    <mergeCell ref="F3:F4"/>
    <mergeCell ref="H3:H4"/>
    <mergeCell ref="B11:F11"/>
    <mergeCell ref="B13:B14"/>
    <mergeCell ref="D13:E13"/>
    <mergeCell ref="F13:F14"/>
    <mergeCell ref="H13:H14"/>
  </mergeCells>
  <printOptions/>
  <pageMargins left="0.25" right="0.25" top="0.75" bottom="0.75" header="0.3" footer="0.3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2015-10-23T06:50:20Z</cp:lastPrinted>
  <dcterms:created xsi:type="dcterms:W3CDTF">2015-04-15T07:16:59Z</dcterms:created>
  <dcterms:modified xsi:type="dcterms:W3CDTF">2015-10-23T06:51:40Z</dcterms:modified>
  <cp:category/>
  <cp:version/>
  <cp:contentType/>
  <cp:contentStatus/>
</cp:coreProperties>
</file>